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updateLinks="never" codeName="ThisWorkbook"/>
  <mc:AlternateContent xmlns:mc="http://schemas.openxmlformats.org/markup-compatibility/2006">
    <mc:Choice Requires="x15">
      <x15ac:absPath xmlns:x15ac="http://schemas.microsoft.com/office/spreadsheetml/2010/11/ac" url="C:\Users\Alex\Dropbox (Personal)\BB\Roster builders\"/>
    </mc:Choice>
  </mc:AlternateContent>
  <xr:revisionPtr revIDLastSave="0" documentId="13_ncr:1_{F98FE64E-F6A9-46C6-A78F-919F93DF224E}" xr6:coauthVersionLast="47" xr6:coauthVersionMax="47" xr10:uidLastSave="{00000000-0000-0000-0000-000000000000}"/>
  <bookViews>
    <workbookView xWindow="28680" yWindow="-1860" windowWidth="29040" windowHeight="18240" tabRatio="789" firstSheet="1" activeTab="1" xr2:uid="{00000000-000D-0000-FFFF-FFFF00000000}"/>
  </bookViews>
  <sheets>
    <sheet name="File updates" sheetId="66" state="hidden" r:id="rId1"/>
    <sheet name="Overview" sheetId="7" r:id="rId2"/>
    <sheet name="Tourney Rules" sheetId="32" r:id="rId3"/>
    <sheet name="Star_Players" sheetId="6" state="hidden" r:id="rId4"/>
    <sheet name="Teams" sheetId="2" state="hidden" r:id="rId5"/>
    <sheet name="Players" sheetId="3" state="hidden" r:id="rId6"/>
    <sheet name="Team 1" sheetId="8" r:id="rId7"/>
    <sheet name="Team (old)" sheetId="11" state="hidden" r:id="rId8"/>
    <sheet name="Skill_Packs" sheetId="43" state="hidden" r:id="rId9"/>
    <sheet name="Team 2" sheetId="67" r:id="rId10"/>
    <sheet name="Team 3" sheetId="68" r:id="rId11"/>
    <sheet name="Available Rosters" sheetId="30" r:id="rId12"/>
    <sheet name="Available Skills" sheetId="28" r:id="rId13"/>
  </sheets>
  <definedNames>
    <definedName name="_xlnm._FilterDatabase" localSheetId="4" hidden="1">Teams!$L$1:$N$11</definedName>
    <definedName name="Allowed_skills">Skill_Packs!$B$10:$E$27</definedName>
    <definedName name="PlayerList">Players!$B$1:$M$804</definedName>
    <definedName name="PLAYERS">Players!$A$1:$M$804</definedName>
    <definedName name="_xlnm.Print_Area" localSheetId="6">'Team 1'!$B$2:$O$40</definedName>
    <definedName name="_xlnm.Print_Area" localSheetId="9">'Team 2'!$B$2:$O$40</definedName>
    <definedName name="_xlnm.Print_Area" localSheetId="10">'Team 3'!$B$2:$O$40</definedName>
    <definedName name="Special_Rules_Full_Names">Teams!$L$31:$M$50</definedName>
    <definedName name="SpecialRules">Teams!$L$2:$N$19</definedName>
    <definedName name="SquadName">Overview!$C$2</definedName>
    <definedName name="StarplayerList">Star_Players!$A$53:$M$101</definedName>
    <definedName name="STARS">Star_Players!$A$1:$S$30</definedName>
    <definedName name="TEAMS">Teams!$B$2:$I$31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0" i="68" l="1"/>
  <c r="B39" i="68"/>
  <c r="AQ38" i="68"/>
  <c r="AN37" i="68"/>
  <c r="AM37" i="68"/>
  <c r="AL37" i="68"/>
  <c r="AK37" i="68"/>
  <c r="AJ37" i="68"/>
  <c r="AI37" i="68"/>
  <c r="AH37" i="68"/>
  <c r="AG37" i="68"/>
  <c r="AF37" i="68"/>
  <c r="AE37" i="68"/>
  <c r="AD37" i="68"/>
  <c r="AC37" i="68"/>
  <c r="AB37" i="68"/>
  <c r="AA37" i="68"/>
  <c r="Z37" i="68"/>
  <c r="Y37" i="68"/>
  <c r="X37" i="68"/>
  <c r="W37" i="68"/>
  <c r="V37" i="68"/>
  <c r="U37" i="68"/>
  <c r="T37" i="68"/>
  <c r="S37" i="68"/>
  <c r="R37" i="68"/>
  <c r="AQ36" i="68"/>
  <c r="AR37" i="68" s="1"/>
  <c r="E36" i="68"/>
  <c r="AQ35" i="68"/>
  <c r="AR36" i="68" s="1"/>
  <c r="E35" i="68"/>
  <c r="U33" i="68"/>
  <c r="J3" i="68" s="1"/>
  <c r="AQ32" i="68"/>
  <c r="AR33" i="68" s="1"/>
  <c r="U32" i="68"/>
  <c r="E32" i="68"/>
  <c r="U31" i="68"/>
  <c r="E31" i="68"/>
  <c r="AQ30" i="68"/>
  <c r="AR31" i="68" s="1"/>
  <c r="U30" i="68"/>
  <c r="E30" i="68"/>
  <c r="E29" i="68"/>
  <c r="D29" i="68"/>
  <c r="U28" i="68"/>
  <c r="V30" i="68" s="1"/>
  <c r="L28" i="68"/>
  <c r="E28" i="68"/>
  <c r="AQ26" i="68"/>
  <c r="AR27" i="68" s="1"/>
  <c r="N25" i="68"/>
  <c r="L25" i="68"/>
  <c r="K25" i="68"/>
  <c r="J25" i="68"/>
  <c r="I25" i="68"/>
  <c r="H25" i="68"/>
  <c r="G25" i="68"/>
  <c r="F25" i="68"/>
  <c r="E25" i="68"/>
  <c r="N24" i="68"/>
  <c r="L24" i="68"/>
  <c r="K24" i="68"/>
  <c r="J24" i="68"/>
  <c r="I24" i="68"/>
  <c r="H24" i="68"/>
  <c r="G24" i="68"/>
  <c r="F24" i="68"/>
  <c r="E24" i="68"/>
  <c r="AE23" i="68"/>
  <c r="AD23" i="68"/>
  <c r="AB23" i="68"/>
  <c r="T23" i="68"/>
  <c r="S23" i="68"/>
  <c r="AA23" i="68" s="1"/>
  <c r="R23" i="68"/>
  <c r="Z23" i="68" s="1"/>
  <c r="K23" i="68"/>
  <c r="J23" i="68"/>
  <c r="I23" i="68"/>
  <c r="H23" i="68"/>
  <c r="G23" i="68"/>
  <c r="F23" i="68"/>
  <c r="E23" i="68"/>
  <c r="AE22" i="68"/>
  <c r="AD22" i="68"/>
  <c r="AB22" i="68"/>
  <c r="T22" i="68"/>
  <c r="S22" i="68"/>
  <c r="AA22" i="68" s="1"/>
  <c r="R22" i="68"/>
  <c r="Z22" i="68" s="1"/>
  <c r="K22" i="68"/>
  <c r="J22" i="68"/>
  <c r="I22" i="68"/>
  <c r="H22" i="68"/>
  <c r="G22" i="68"/>
  <c r="F22" i="68"/>
  <c r="E22" i="68"/>
  <c r="AE21" i="68"/>
  <c r="AD21" i="68"/>
  <c r="AB21" i="68"/>
  <c r="T21" i="68"/>
  <c r="J21" i="68" s="1"/>
  <c r="S21" i="68"/>
  <c r="AA21" i="68" s="1"/>
  <c r="R21" i="68"/>
  <c r="Z21" i="68" s="1"/>
  <c r="K21" i="68"/>
  <c r="I21" i="68"/>
  <c r="H21" i="68"/>
  <c r="G21" i="68"/>
  <c r="F21" i="68"/>
  <c r="E21" i="68"/>
  <c r="AE20" i="68"/>
  <c r="AD20" i="68"/>
  <c r="AB20" i="68"/>
  <c r="T20" i="68"/>
  <c r="J20" i="68" s="1"/>
  <c r="S20" i="68"/>
  <c r="AA20" i="68" s="1"/>
  <c r="R20" i="68"/>
  <c r="Z20" i="68" s="1"/>
  <c r="K20" i="68"/>
  <c r="I20" i="68"/>
  <c r="H20" i="68"/>
  <c r="G20" i="68"/>
  <c r="F20" i="68"/>
  <c r="E20" i="68"/>
  <c r="AE19" i="68"/>
  <c r="AD19" i="68"/>
  <c r="AB19" i="68"/>
  <c r="T19" i="68"/>
  <c r="J19" i="68" s="1"/>
  <c r="S19" i="68"/>
  <c r="AA19" i="68" s="1"/>
  <c r="R19" i="68"/>
  <c r="Z19" i="68" s="1"/>
  <c r="K19" i="68"/>
  <c r="I19" i="68"/>
  <c r="H19" i="68"/>
  <c r="G19" i="68"/>
  <c r="F19" i="68"/>
  <c r="E19" i="68"/>
  <c r="AQ18" i="68"/>
  <c r="AR19" i="68" s="1"/>
  <c r="AE18" i="68"/>
  <c r="AD18" i="68"/>
  <c r="AB18" i="68"/>
  <c r="T18" i="68"/>
  <c r="J18" i="68" s="1"/>
  <c r="S18" i="68"/>
  <c r="AA18" i="68" s="1"/>
  <c r="R18" i="68"/>
  <c r="Z18" i="68" s="1"/>
  <c r="K18" i="68"/>
  <c r="I18" i="68"/>
  <c r="H18" i="68"/>
  <c r="G18" i="68"/>
  <c r="F18" i="68"/>
  <c r="E18" i="68"/>
  <c r="AE17" i="68"/>
  <c r="AD17" i="68"/>
  <c r="AB17" i="68"/>
  <c r="T17" i="68"/>
  <c r="J17" i="68" s="1"/>
  <c r="S17" i="68"/>
  <c r="AA17" i="68" s="1"/>
  <c r="R17" i="68"/>
  <c r="Z17" i="68" s="1"/>
  <c r="K17" i="68"/>
  <c r="I17" i="68"/>
  <c r="H17" i="68"/>
  <c r="G17" i="68"/>
  <c r="F17" i="68"/>
  <c r="E17" i="68"/>
  <c r="AE16" i="68"/>
  <c r="AD16" i="68"/>
  <c r="AB16" i="68"/>
  <c r="T16" i="68"/>
  <c r="S16" i="68"/>
  <c r="AA16" i="68" s="1"/>
  <c r="R16" i="68"/>
  <c r="Z16" i="68" s="1"/>
  <c r="K16" i="68"/>
  <c r="J16" i="68"/>
  <c r="I16" i="68"/>
  <c r="H16" i="68"/>
  <c r="G16" i="68"/>
  <c r="F16" i="68"/>
  <c r="E16" i="68"/>
  <c r="AH15" i="68"/>
  <c r="AE15" i="68"/>
  <c r="AD15" i="68"/>
  <c r="AB15" i="68"/>
  <c r="T15" i="68"/>
  <c r="J15" i="68" s="1"/>
  <c r="S15" i="68"/>
  <c r="AA15" i="68" s="1"/>
  <c r="R15" i="68"/>
  <c r="Z15" i="68" s="1"/>
  <c r="K15" i="68"/>
  <c r="I15" i="68"/>
  <c r="H15" i="68"/>
  <c r="G15" i="68"/>
  <c r="F15" i="68"/>
  <c r="E15" i="68"/>
  <c r="AH14" i="68"/>
  <c r="D33" i="68" s="1"/>
  <c r="E33" i="68" s="1"/>
  <c r="AE14" i="68"/>
  <c r="AD14" i="68"/>
  <c r="AB14" i="68"/>
  <c r="T14" i="68"/>
  <c r="J14" i="68" s="1"/>
  <c r="S14" i="68"/>
  <c r="AA14" i="68" s="1"/>
  <c r="R14" i="68"/>
  <c r="Z14" i="68" s="1"/>
  <c r="K14" i="68"/>
  <c r="I14" i="68"/>
  <c r="H14" i="68"/>
  <c r="G14" i="68"/>
  <c r="F14" i="68"/>
  <c r="E14" i="68"/>
  <c r="AH13" i="68"/>
  <c r="D34" i="68" s="1"/>
  <c r="E34" i="68" s="1"/>
  <c r="AE13" i="68"/>
  <c r="AD13" i="68"/>
  <c r="AB13" i="68"/>
  <c r="T13" i="68"/>
  <c r="S13" i="68"/>
  <c r="AA13" i="68" s="1"/>
  <c r="R13" i="68"/>
  <c r="Z13" i="68" s="1"/>
  <c r="K13" i="68"/>
  <c r="J13" i="68"/>
  <c r="I13" i="68"/>
  <c r="H13" i="68"/>
  <c r="G13" i="68"/>
  <c r="F13" i="68"/>
  <c r="E13" i="68"/>
  <c r="AH12" i="68"/>
  <c r="C36" i="68" s="1"/>
  <c r="AE12" i="68"/>
  <c r="AD12" i="68"/>
  <c r="AB12" i="68"/>
  <c r="T12" i="68"/>
  <c r="S12" i="68"/>
  <c r="AA12" i="68" s="1"/>
  <c r="R12" i="68"/>
  <c r="Z12" i="68" s="1"/>
  <c r="K12" i="68"/>
  <c r="J12" i="68"/>
  <c r="I12" i="68"/>
  <c r="H12" i="68"/>
  <c r="G12" i="68"/>
  <c r="F12" i="68"/>
  <c r="E12" i="68"/>
  <c r="AH11" i="68"/>
  <c r="AE11" i="68"/>
  <c r="AD11" i="68"/>
  <c r="AB11" i="68"/>
  <c r="T11" i="68"/>
  <c r="S11" i="68"/>
  <c r="AA11" i="68" s="1"/>
  <c r="R11" i="68"/>
  <c r="Z11" i="68" s="1"/>
  <c r="K11" i="68"/>
  <c r="J11" i="68"/>
  <c r="I11" i="68"/>
  <c r="H11" i="68"/>
  <c r="G11" i="68"/>
  <c r="F11" i="68"/>
  <c r="E11" i="68"/>
  <c r="AH10" i="68"/>
  <c r="AE10" i="68"/>
  <c r="AD10" i="68"/>
  <c r="AB10" i="68"/>
  <c r="T10" i="68"/>
  <c r="J10" i="68" s="1"/>
  <c r="S10" i="68"/>
  <c r="AA10" i="68" s="1"/>
  <c r="R10" i="68"/>
  <c r="Z10" i="68" s="1"/>
  <c r="K10" i="68"/>
  <c r="I10" i="68"/>
  <c r="H10" i="68"/>
  <c r="G10" i="68"/>
  <c r="F10" i="68"/>
  <c r="E10" i="68"/>
  <c r="AH9" i="68"/>
  <c r="AJ17" i="68" s="1"/>
  <c r="AE9" i="68"/>
  <c r="AD9" i="68"/>
  <c r="AB9" i="68"/>
  <c r="T9" i="68"/>
  <c r="S9" i="68"/>
  <c r="AA9" i="68" s="1"/>
  <c r="R9" i="68"/>
  <c r="Z9" i="68" s="1"/>
  <c r="K9" i="68"/>
  <c r="J9" i="68"/>
  <c r="I9" i="68"/>
  <c r="H9" i="68"/>
  <c r="G9" i="68"/>
  <c r="F9" i="68"/>
  <c r="E9" i="68"/>
  <c r="AH8" i="68"/>
  <c r="AQ31" i="68" s="1"/>
  <c r="AR32" i="68" s="1"/>
  <c r="AE8" i="68"/>
  <c r="AD8" i="68"/>
  <c r="AB8" i="68"/>
  <c r="T8" i="68"/>
  <c r="J8" i="68" s="1"/>
  <c r="S8" i="68"/>
  <c r="AA8" i="68" s="1"/>
  <c r="R8" i="68"/>
  <c r="Z8" i="68" s="1"/>
  <c r="K8" i="68"/>
  <c r="I8" i="68"/>
  <c r="H8" i="68"/>
  <c r="G8" i="68"/>
  <c r="F8" i="68"/>
  <c r="E8" i="68"/>
  <c r="AH7" i="68"/>
  <c r="L6" i="68"/>
  <c r="J5" i="68"/>
  <c r="J4" i="68"/>
  <c r="F2" i="68"/>
  <c r="B40" i="67"/>
  <c r="B39" i="67"/>
  <c r="AN37" i="67"/>
  <c r="AM37" i="67"/>
  <c r="AL37" i="67"/>
  <c r="AK37" i="67"/>
  <c r="AJ37" i="67"/>
  <c r="AI37" i="67"/>
  <c r="AH37" i="67"/>
  <c r="AG37" i="67"/>
  <c r="AF37" i="67"/>
  <c r="AE37" i="67"/>
  <c r="AD37" i="67"/>
  <c r="AC37" i="67"/>
  <c r="AB37" i="67"/>
  <c r="AA37" i="67"/>
  <c r="Z37" i="67"/>
  <c r="Y37" i="67"/>
  <c r="X37" i="67"/>
  <c r="W37" i="67"/>
  <c r="V37" i="67"/>
  <c r="U37" i="67"/>
  <c r="T37" i="67"/>
  <c r="S37" i="67"/>
  <c r="R37" i="67"/>
  <c r="E36" i="67"/>
  <c r="E35" i="67"/>
  <c r="U33" i="67"/>
  <c r="J3" i="67" s="1"/>
  <c r="U32" i="67"/>
  <c r="E32" i="67"/>
  <c r="U31" i="67"/>
  <c r="E31" i="67"/>
  <c r="U30" i="67"/>
  <c r="E30" i="67"/>
  <c r="E29" i="67"/>
  <c r="D29" i="67"/>
  <c r="U28" i="67"/>
  <c r="V30" i="67" s="1"/>
  <c r="L28" i="67"/>
  <c r="E28" i="67"/>
  <c r="N25" i="67"/>
  <c r="L25" i="67"/>
  <c r="K25" i="67"/>
  <c r="J25" i="67"/>
  <c r="I25" i="67"/>
  <c r="H25" i="67"/>
  <c r="G25" i="67"/>
  <c r="F25" i="67"/>
  <c r="E25" i="67"/>
  <c r="N24" i="67"/>
  <c r="L24" i="67"/>
  <c r="K24" i="67"/>
  <c r="J24" i="67"/>
  <c r="I24" i="67"/>
  <c r="H24" i="67"/>
  <c r="G24" i="67"/>
  <c r="F24" i="67"/>
  <c r="E24" i="67"/>
  <c r="AE23" i="67"/>
  <c r="AD23" i="67"/>
  <c r="AB23" i="67"/>
  <c r="T23" i="67"/>
  <c r="S23" i="67"/>
  <c r="AA23" i="67" s="1"/>
  <c r="R23" i="67"/>
  <c r="Z23" i="67" s="1"/>
  <c r="K23" i="67"/>
  <c r="J23" i="67"/>
  <c r="I23" i="67"/>
  <c r="H23" i="67"/>
  <c r="G23" i="67"/>
  <c r="F23" i="67"/>
  <c r="E23" i="67"/>
  <c r="AE22" i="67"/>
  <c r="AD22" i="67"/>
  <c r="AB22" i="67"/>
  <c r="T22" i="67"/>
  <c r="J22" i="67" s="1"/>
  <c r="S22" i="67"/>
  <c r="AA22" i="67" s="1"/>
  <c r="R22" i="67"/>
  <c r="Z22" i="67" s="1"/>
  <c r="K22" i="67"/>
  <c r="I22" i="67"/>
  <c r="H22" i="67"/>
  <c r="G22" i="67"/>
  <c r="F22" i="67"/>
  <c r="E22" i="67"/>
  <c r="AE21" i="67"/>
  <c r="AD21" i="67"/>
  <c r="AB21" i="67"/>
  <c r="T21" i="67"/>
  <c r="J21" i="67" s="1"/>
  <c r="S21" i="67"/>
  <c r="AA21" i="67" s="1"/>
  <c r="R21" i="67"/>
  <c r="Z21" i="67" s="1"/>
  <c r="K21" i="67"/>
  <c r="I21" i="67"/>
  <c r="H21" i="67"/>
  <c r="G21" i="67"/>
  <c r="F21" i="67"/>
  <c r="E21" i="67"/>
  <c r="AE20" i="67"/>
  <c r="AD20" i="67"/>
  <c r="AB20" i="67"/>
  <c r="T20" i="67"/>
  <c r="S20" i="67"/>
  <c r="AA20" i="67" s="1"/>
  <c r="R20" i="67"/>
  <c r="Z20" i="67" s="1"/>
  <c r="K20" i="67"/>
  <c r="J20" i="67"/>
  <c r="I20" i="67"/>
  <c r="H20" i="67"/>
  <c r="G20" i="67"/>
  <c r="F20" i="67"/>
  <c r="E20" i="67"/>
  <c r="AE19" i="67"/>
  <c r="AD19" i="67"/>
  <c r="AB19" i="67"/>
  <c r="T19" i="67"/>
  <c r="S19" i="67"/>
  <c r="AA19" i="67" s="1"/>
  <c r="R19" i="67"/>
  <c r="Z19" i="67" s="1"/>
  <c r="K19" i="67"/>
  <c r="J19" i="67"/>
  <c r="I19" i="67"/>
  <c r="H19" i="67"/>
  <c r="G19" i="67"/>
  <c r="F19" i="67"/>
  <c r="E19" i="67"/>
  <c r="AE18" i="67"/>
  <c r="AD18" i="67"/>
  <c r="AB18" i="67"/>
  <c r="T18" i="67"/>
  <c r="J18" i="67" s="1"/>
  <c r="S18" i="67"/>
  <c r="AA18" i="67" s="1"/>
  <c r="R18" i="67"/>
  <c r="Z18" i="67" s="1"/>
  <c r="K18" i="67"/>
  <c r="I18" i="67"/>
  <c r="H18" i="67"/>
  <c r="G18" i="67"/>
  <c r="F18" i="67"/>
  <c r="E18" i="67"/>
  <c r="AE17" i="67"/>
  <c r="AD17" i="67"/>
  <c r="AB17" i="67"/>
  <c r="T17" i="67"/>
  <c r="S17" i="67"/>
  <c r="AA17" i="67" s="1"/>
  <c r="R17" i="67"/>
  <c r="Z17" i="67" s="1"/>
  <c r="K17" i="67"/>
  <c r="J17" i="67"/>
  <c r="I17" i="67"/>
  <c r="H17" i="67"/>
  <c r="G17" i="67"/>
  <c r="F17" i="67"/>
  <c r="E17" i="67"/>
  <c r="AE16" i="67"/>
  <c r="AD16" i="67"/>
  <c r="AB16" i="67"/>
  <c r="T16" i="67"/>
  <c r="J16" i="67" s="1"/>
  <c r="S16" i="67"/>
  <c r="AA16" i="67" s="1"/>
  <c r="R16" i="67"/>
  <c r="Z16" i="67" s="1"/>
  <c r="K16" i="67"/>
  <c r="I16" i="67"/>
  <c r="H16" i="67"/>
  <c r="G16" i="67"/>
  <c r="F16" i="67"/>
  <c r="E16" i="67"/>
  <c r="AE15" i="67"/>
  <c r="AD15" i="67"/>
  <c r="AB15" i="67"/>
  <c r="T15" i="67"/>
  <c r="J15" i="67" s="1"/>
  <c r="S15" i="67"/>
  <c r="AA15" i="67" s="1"/>
  <c r="R15" i="67"/>
  <c r="Z15" i="67" s="1"/>
  <c r="K15" i="67"/>
  <c r="I15" i="67"/>
  <c r="H15" i="67"/>
  <c r="G15" i="67"/>
  <c r="F15" i="67"/>
  <c r="E15" i="67"/>
  <c r="AE14" i="67"/>
  <c r="AD14" i="67"/>
  <c r="AB14" i="67"/>
  <c r="T14" i="67"/>
  <c r="J14" i="67" s="1"/>
  <c r="S14" i="67"/>
  <c r="AA14" i="67" s="1"/>
  <c r="R14" i="67"/>
  <c r="Z14" i="67" s="1"/>
  <c r="K14" i="67"/>
  <c r="I14" i="67"/>
  <c r="H14" i="67"/>
  <c r="G14" i="67"/>
  <c r="F14" i="67"/>
  <c r="E14" i="67"/>
  <c r="AE13" i="67"/>
  <c r="AD13" i="67"/>
  <c r="AB13" i="67"/>
  <c r="T13" i="67"/>
  <c r="S13" i="67"/>
  <c r="AA13" i="67" s="1"/>
  <c r="R13" i="67"/>
  <c r="Z13" i="67" s="1"/>
  <c r="K13" i="67"/>
  <c r="J13" i="67"/>
  <c r="I13" i="67"/>
  <c r="H13" i="67"/>
  <c r="G13" i="67"/>
  <c r="F13" i="67"/>
  <c r="E13" i="67"/>
  <c r="AE12" i="67"/>
  <c r="AD12" i="67"/>
  <c r="AB12" i="67"/>
  <c r="T12" i="67"/>
  <c r="J12" i="67" s="1"/>
  <c r="S12" i="67"/>
  <c r="AA12" i="67" s="1"/>
  <c r="R12" i="67"/>
  <c r="Z12" i="67" s="1"/>
  <c r="K12" i="67"/>
  <c r="I12" i="67"/>
  <c r="H12" i="67"/>
  <c r="G12" i="67"/>
  <c r="F12" i="67"/>
  <c r="E12" i="67"/>
  <c r="AH11" i="67"/>
  <c r="AE11" i="67"/>
  <c r="AD11" i="67"/>
  <c r="AB11" i="67"/>
  <c r="T11" i="67"/>
  <c r="J11" i="67" s="1"/>
  <c r="S11" i="67"/>
  <c r="AA11" i="67" s="1"/>
  <c r="R11" i="67"/>
  <c r="Z11" i="67" s="1"/>
  <c r="K11" i="67"/>
  <c r="I11" i="67"/>
  <c r="H11" i="67"/>
  <c r="G11" i="67"/>
  <c r="F11" i="67"/>
  <c r="E11" i="67"/>
  <c r="AH10" i="67"/>
  <c r="AE10" i="67"/>
  <c r="AD10" i="67"/>
  <c r="AB10" i="67"/>
  <c r="T10" i="67"/>
  <c r="J10" i="67" s="1"/>
  <c r="S10" i="67"/>
  <c r="AA10" i="67" s="1"/>
  <c r="R10" i="67"/>
  <c r="Z10" i="67" s="1"/>
  <c r="K10" i="67"/>
  <c r="I10" i="67"/>
  <c r="H10" i="67"/>
  <c r="G10" i="67"/>
  <c r="F10" i="67"/>
  <c r="E10" i="67"/>
  <c r="AH9" i="67"/>
  <c r="AJ17" i="67" s="1"/>
  <c r="AE9" i="67"/>
  <c r="AD9" i="67"/>
  <c r="AB9" i="67"/>
  <c r="T9" i="67"/>
  <c r="J9" i="67" s="1"/>
  <c r="S9" i="67"/>
  <c r="AA9" i="67" s="1"/>
  <c r="R9" i="67"/>
  <c r="Z9" i="67" s="1"/>
  <c r="K9" i="67"/>
  <c r="I9" i="67"/>
  <c r="H9" i="67"/>
  <c r="G9" i="67"/>
  <c r="F9" i="67"/>
  <c r="E9" i="67"/>
  <c r="AH8" i="67"/>
  <c r="AQ31" i="67" s="1"/>
  <c r="AR32" i="67" s="1"/>
  <c r="AE8" i="67"/>
  <c r="AD8" i="67"/>
  <c r="AB8" i="67"/>
  <c r="T8" i="67"/>
  <c r="J8" i="67" s="1"/>
  <c r="S8" i="67"/>
  <c r="AA8" i="67" s="1"/>
  <c r="R8" i="67"/>
  <c r="Z8" i="67" s="1"/>
  <c r="K8" i="67"/>
  <c r="I8" i="67"/>
  <c r="H8" i="67"/>
  <c r="G8" i="67"/>
  <c r="F8" i="67"/>
  <c r="E8" i="67"/>
  <c r="AH7" i="67"/>
  <c r="L6" i="67"/>
  <c r="J5" i="67"/>
  <c r="J4" i="67"/>
  <c r="F2" i="67"/>
  <c r="U33" i="8"/>
  <c r="N25" i="8"/>
  <c r="N24" i="8"/>
  <c r="K33" i="6" a="1"/>
  <c r="K33" i="6" s="1"/>
  <c r="L33" i="6" a="1"/>
  <c r="L33" i="6" s="1"/>
  <c r="M33" i="6" a="1"/>
  <c r="M33" i="6" s="1"/>
  <c r="N33" i="6" a="1"/>
  <c r="N33" i="6" s="1"/>
  <c r="O33" i="6" a="1"/>
  <c r="O33" i="6" s="1"/>
  <c r="P33" i="6" a="1"/>
  <c r="P33" i="6" s="1"/>
  <c r="Q33" i="6" a="1"/>
  <c r="Q33" i="6" s="1"/>
  <c r="K34" i="6" a="1"/>
  <c r="K34" i="6" s="1"/>
  <c r="L34" i="6" a="1"/>
  <c r="L34" i="6" s="1"/>
  <c r="M34" i="6" a="1"/>
  <c r="M34" i="6" s="1"/>
  <c r="N34" i="6" a="1"/>
  <c r="N34" i="6" s="1"/>
  <c r="O34" i="6" a="1"/>
  <c r="O34" i="6" s="1"/>
  <c r="P34" i="6" a="1"/>
  <c r="P34" i="6" s="1"/>
  <c r="Q34" i="6" a="1"/>
  <c r="Q34" i="6" s="1"/>
  <c r="K35" i="6" a="1"/>
  <c r="K35" i="6" s="1"/>
  <c r="L35" i="6" a="1"/>
  <c r="L35" i="6" s="1"/>
  <c r="M35" i="6" a="1"/>
  <c r="M35" i="6" s="1"/>
  <c r="N35" i="6" a="1"/>
  <c r="N35" i="6" s="1"/>
  <c r="O35" i="6" a="1"/>
  <c r="O35" i="6" s="1"/>
  <c r="P35" i="6" a="1"/>
  <c r="P35" i="6" s="1"/>
  <c r="Q35" i="6" a="1"/>
  <c r="Q35" i="6" s="1"/>
  <c r="K36" i="6" a="1"/>
  <c r="K36" i="6" s="1"/>
  <c r="L36" i="6" a="1"/>
  <c r="L36" i="6" s="1"/>
  <c r="M36" i="6" a="1"/>
  <c r="M36" i="6" s="1"/>
  <c r="N36" i="6" a="1"/>
  <c r="N36" i="6" s="1"/>
  <c r="O36" i="6" a="1"/>
  <c r="O36" i="6" s="1"/>
  <c r="P36" i="6" a="1"/>
  <c r="P36" i="6" s="1"/>
  <c r="Q36" i="6" a="1"/>
  <c r="Q36" i="6" s="1"/>
  <c r="K37" i="6" a="1"/>
  <c r="K37" i="6" s="1"/>
  <c r="L37" i="6" a="1"/>
  <c r="L37" i="6" s="1"/>
  <c r="M37" i="6" a="1"/>
  <c r="M37" i="6" s="1"/>
  <c r="N37" i="6" a="1"/>
  <c r="N37" i="6" s="1"/>
  <c r="O37" i="6" a="1"/>
  <c r="O37" i="6" s="1"/>
  <c r="P37" i="6" a="1"/>
  <c r="P37" i="6" s="1"/>
  <c r="Q37" i="6" a="1"/>
  <c r="Q37" i="6" s="1"/>
  <c r="K38" i="6" a="1"/>
  <c r="K38" i="6" s="1"/>
  <c r="L38" i="6" a="1"/>
  <c r="L38" i="6" s="1"/>
  <c r="M38" i="6" a="1"/>
  <c r="M38" i="6" s="1"/>
  <c r="N38" i="6" a="1"/>
  <c r="N38" i="6" s="1"/>
  <c r="O38" i="6" a="1"/>
  <c r="O38" i="6" s="1"/>
  <c r="P38" i="6" a="1"/>
  <c r="P38" i="6" s="1"/>
  <c r="Q38" i="6" a="1"/>
  <c r="Q38" i="6" s="1"/>
  <c r="K39" i="6" a="1"/>
  <c r="K39" i="6" s="1"/>
  <c r="L39" i="6" a="1"/>
  <c r="L39" i="6" s="1"/>
  <c r="M39" i="6" a="1"/>
  <c r="M39" i="6" s="1"/>
  <c r="N39" i="6" a="1"/>
  <c r="N39" i="6" s="1"/>
  <c r="O39" i="6" a="1"/>
  <c r="O39" i="6" s="1"/>
  <c r="P39" i="6" a="1"/>
  <c r="P39" i="6" s="1"/>
  <c r="Q39" i="6" a="1"/>
  <c r="Q39" i="6" s="1"/>
  <c r="K40" i="6" a="1"/>
  <c r="K40" i="6" s="1"/>
  <c r="L40" i="6" a="1"/>
  <c r="L40" i="6" s="1"/>
  <c r="M40" i="6" a="1"/>
  <c r="M40" i="6" s="1"/>
  <c r="N40" i="6" a="1"/>
  <c r="N40" i="6" s="1"/>
  <c r="O40" i="6" a="1"/>
  <c r="O40" i="6" s="1"/>
  <c r="P40" i="6" a="1"/>
  <c r="P40" i="6" s="1"/>
  <c r="Q40" i="6" a="1"/>
  <c r="Q40" i="6" s="1"/>
  <c r="K41" i="6" a="1"/>
  <c r="K41" i="6" s="1"/>
  <c r="L41" i="6" a="1"/>
  <c r="L41" i="6" s="1"/>
  <c r="M41" i="6" a="1"/>
  <c r="M41" i="6" s="1"/>
  <c r="N41" i="6" a="1"/>
  <c r="N41" i="6" s="1"/>
  <c r="O41" i="6" a="1"/>
  <c r="O41" i="6" s="1"/>
  <c r="P41" i="6" a="1"/>
  <c r="P41" i="6" s="1"/>
  <c r="Q41" i="6" a="1"/>
  <c r="Q41" i="6" s="1"/>
  <c r="K42" i="6" a="1"/>
  <c r="K42" i="6" s="1"/>
  <c r="L42" i="6" a="1"/>
  <c r="L42" i="6" s="1"/>
  <c r="M42" i="6" a="1"/>
  <c r="M42" i="6" s="1"/>
  <c r="N42" i="6" a="1"/>
  <c r="N42" i="6" s="1"/>
  <c r="O42" i="6" a="1"/>
  <c r="O42" i="6" s="1"/>
  <c r="P42" i="6" a="1"/>
  <c r="P42" i="6" s="1"/>
  <c r="Q42" i="6" a="1"/>
  <c r="Q42" i="6" s="1"/>
  <c r="K43" i="6" a="1"/>
  <c r="K43" i="6" s="1"/>
  <c r="L43" i="6" a="1"/>
  <c r="L43" i="6" s="1"/>
  <c r="M43" i="6" a="1"/>
  <c r="M43" i="6" s="1"/>
  <c r="N43" i="6" a="1"/>
  <c r="N43" i="6" s="1"/>
  <c r="O43" i="6" a="1"/>
  <c r="O43" i="6" s="1"/>
  <c r="P43" i="6" a="1"/>
  <c r="P43" i="6" s="1"/>
  <c r="Q43" i="6" a="1"/>
  <c r="Q43" i="6" s="1"/>
  <c r="K44" i="6" a="1"/>
  <c r="K44" i="6" s="1"/>
  <c r="L44" i="6" a="1"/>
  <c r="L44" i="6" s="1"/>
  <c r="M44" i="6" a="1"/>
  <c r="M44" i="6" s="1"/>
  <c r="N44" i="6" a="1"/>
  <c r="N44" i="6" s="1"/>
  <c r="O44" i="6" a="1"/>
  <c r="O44" i="6" s="1"/>
  <c r="P44" i="6" a="1"/>
  <c r="P44" i="6" s="1"/>
  <c r="Q44" i="6" a="1"/>
  <c r="Q44" i="6" s="1"/>
  <c r="K45" i="6" a="1"/>
  <c r="K45" i="6" s="1"/>
  <c r="L45" i="6" a="1"/>
  <c r="L45" i="6" s="1"/>
  <c r="M45" i="6" a="1"/>
  <c r="M45" i="6" s="1"/>
  <c r="N45" i="6" a="1"/>
  <c r="N45" i="6" s="1"/>
  <c r="O45" i="6" a="1"/>
  <c r="O45" i="6" s="1"/>
  <c r="P45" i="6" a="1"/>
  <c r="P45" i="6" s="1"/>
  <c r="Q45" i="6" a="1"/>
  <c r="Q45" i="6" s="1"/>
  <c r="K46" i="6" a="1"/>
  <c r="K46" i="6" s="1"/>
  <c r="L46" i="6" a="1"/>
  <c r="L46" i="6" s="1"/>
  <c r="M46" i="6" a="1"/>
  <c r="M46" i="6" s="1"/>
  <c r="N46" i="6" a="1"/>
  <c r="N46" i="6" s="1"/>
  <c r="O46" i="6" a="1"/>
  <c r="O46" i="6" s="1"/>
  <c r="P46" i="6" a="1"/>
  <c r="P46" i="6" s="1"/>
  <c r="Q46" i="6" a="1"/>
  <c r="Q46" i="6" s="1"/>
  <c r="K47" i="6" a="1"/>
  <c r="K47" i="6" s="1"/>
  <c r="L47" i="6" a="1"/>
  <c r="L47" i="6" s="1"/>
  <c r="M47" i="6" a="1"/>
  <c r="M47" i="6" s="1"/>
  <c r="N47" i="6" a="1"/>
  <c r="N47" i="6" s="1"/>
  <c r="O47" i="6" a="1"/>
  <c r="O47" i="6" s="1"/>
  <c r="P47" i="6" a="1"/>
  <c r="P47" i="6" s="1"/>
  <c r="Q47" i="6" a="1"/>
  <c r="Q47" i="6" s="1"/>
  <c r="K48" i="6" a="1"/>
  <c r="K48" i="6" s="1"/>
  <c r="L48" i="6" a="1"/>
  <c r="L48" i="6" s="1"/>
  <c r="M48" i="6" a="1"/>
  <c r="M48" i="6" s="1"/>
  <c r="N48" i="6" a="1"/>
  <c r="N48" i="6" s="1"/>
  <c r="O48" i="6" a="1"/>
  <c r="O48" i="6" s="1"/>
  <c r="P48" i="6" a="1"/>
  <c r="P48" i="6" s="1"/>
  <c r="Q48" i="6" a="1"/>
  <c r="Q48" i="6" s="1"/>
  <c r="K49" i="6" a="1"/>
  <c r="K49" i="6" s="1"/>
  <c r="L49" i="6" a="1"/>
  <c r="L49" i="6" s="1"/>
  <c r="M49" i="6" a="1"/>
  <c r="M49" i="6" s="1"/>
  <c r="N49" i="6" a="1"/>
  <c r="N49" i="6" s="1"/>
  <c r="O49" i="6" a="1"/>
  <c r="O49" i="6" s="1"/>
  <c r="P49" i="6" a="1"/>
  <c r="P49" i="6" s="1"/>
  <c r="Q49" i="6" a="1"/>
  <c r="Q49" i="6" s="1"/>
  <c r="K50" i="6" a="1"/>
  <c r="K50" i="6" s="1"/>
  <c r="L50" i="6" a="1"/>
  <c r="L50" i="6" s="1"/>
  <c r="M50" i="6" a="1"/>
  <c r="M50" i="6" s="1"/>
  <c r="N50" i="6" a="1"/>
  <c r="N50" i="6" s="1"/>
  <c r="O50" i="6" a="1"/>
  <c r="O50" i="6" s="1"/>
  <c r="P50" i="6" a="1"/>
  <c r="P50" i="6" s="1"/>
  <c r="Q50" i="6" a="1"/>
  <c r="Q50" i="6" s="1"/>
  <c r="K51" i="6" a="1"/>
  <c r="K51" i="6" s="1"/>
  <c r="L51" i="6" a="1"/>
  <c r="L51" i="6" s="1"/>
  <c r="M51" i="6" a="1"/>
  <c r="M51" i="6" s="1"/>
  <c r="N51" i="6" a="1"/>
  <c r="N51" i="6" s="1"/>
  <c r="O51" i="6" a="1"/>
  <c r="O51" i="6" s="1"/>
  <c r="P51" i="6" a="1"/>
  <c r="P51" i="6" s="1"/>
  <c r="Q51" i="6" a="1"/>
  <c r="Q51" i="6" s="1"/>
  <c r="B33" i="6" a="1"/>
  <c r="B33" i="6" s="1"/>
  <c r="C33" i="6" a="1"/>
  <c r="C33" i="6" s="1"/>
  <c r="D33" i="6" a="1"/>
  <c r="D33" i="6" s="1"/>
  <c r="E33" i="6" a="1"/>
  <c r="E33" i="6" s="1"/>
  <c r="F33" i="6" a="1"/>
  <c r="F33" i="6" s="1"/>
  <c r="G33" i="6" a="1"/>
  <c r="G33" i="6" s="1"/>
  <c r="H33" i="6" a="1"/>
  <c r="H33" i="6" s="1"/>
  <c r="I33" i="6" a="1"/>
  <c r="I33" i="6" s="1"/>
  <c r="J33" i="6" a="1"/>
  <c r="J33" i="6" s="1"/>
  <c r="B34" i="6" a="1"/>
  <c r="B34" i="6" s="1"/>
  <c r="C34" i="6" a="1"/>
  <c r="C34" i="6" s="1"/>
  <c r="D34" i="6" a="1"/>
  <c r="D34" i="6" s="1"/>
  <c r="E34" i="6" a="1"/>
  <c r="E34" i="6" s="1"/>
  <c r="F34" i="6" a="1"/>
  <c r="F34" i="6" s="1"/>
  <c r="G34" i="6" a="1"/>
  <c r="G34" i="6" s="1"/>
  <c r="H34" i="6" a="1"/>
  <c r="H34" i="6" s="1"/>
  <c r="I34" i="6" a="1"/>
  <c r="I34" i="6" s="1"/>
  <c r="J34" i="6" a="1"/>
  <c r="J34" i="6" s="1"/>
  <c r="B35" i="6" a="1"/>
  <c r="B35" i="6" s="1"/>
  <c r="C35" i="6" a="1"/>
  <c r="C35" i="6" s="1"/>
  <c r="D35" i="6" a="1"/>
  <c r="D35" i="6" s="1"/>
  <c r="E35" i="6" a="1"/>
  <c r="E35" i="6" s="1"/>
  <c r="F35" i="6" a="1"/>
  <c r="F35" i="6" s="1"/>
  <c r="G35" i="6" a="1"/>
  <c r="G35" i="6" s="1"/>
  <c r="H35" i="6" a="1"/>
  <c r="H35" i="6" s="1"/>
  <c r="I35" i="6" a="1"/>
  <c r="I35" i="6" s="1"/>
  <c r="J35" i="6" a="1"/>
  <c r="J35" i="6" s="1"/>
  <c r="B36" i="6" a="1"/>
  <c r="B36" i="6" s="1"/>
  <c r="C36" i="6" a="1"/>
  <c r="C36" i="6" s="1"/>
  <c r="D36" i="6" a="1"/>
  <c r="D36" i="6" s="1"/>
  <c r="E36" i="6" a="1"/>
  <c r="E36" i="6" s="1"/>
  <c r="F36" i="6" a="1"/>
  <c r="F36" i="6" s="1"/>
  <c r="G36" i="6" a="1"/>
  <c r="G36" i="6" s="1"/>
  <c r="H36" i="6" a="1"/>
  <c r="H36" i="6" s="1"/>
  <c r="I36" i="6" a="1"/>
  <c r="I36" i="6" s="1"/>
  <c r="J36" i="6" a="1"/>
  <c r="J36" i="6" s="1"/>
  <c r="B37" i="6" a="1"/>
  <c r="B37" i="6" s="1"/>
  <c r="C37" i="6" a="1"/>
  <c r="C37" i="6" s="1"/>
  <c r="D37" i="6" a="1"/>
  <c r="D37" i="6" s="1"/>
  <c r="E37" i="6" a="1"/>
  <c r="E37" i="6" s="1"/>
  <c r="F37" i="6" a="1"/>
  <c r="F37" i="6" s="1"/>
  <c r="G37" i="6" a="1"/>
  <c r="G37" i="6" s="1"/>
  <c r="H37" i="6" a="1"/>
  <c r="H37" i="6" s="1"/>
  <c r="I37" i="6" a="1"/>
  <c r="I37" i="6" s="1"/>
  <c r="J37" i="6" a="1"/>
  <c r="J37" i="6" s="1"/>
  <c r="B38" i="6" a="1"/>
  <c r="B38" i="6" s="1"/>
  <c r="C38" i="6" a="1"/>
  <c r="C38" i="6" s="1"/>
  <c r="D38" i="6" a="1"/>
  <c r="D38" i="6" s="1"/>
  <c r="E38" i="6" a="1"/>
  <c r="E38" i="6" s="1"/>
  <c r="F38" i="6" a="1"/>
  <c r="F38" i="6" s="1"/>
  <c r="G38" i="6" a="1"/>
  <c r="G38" i="6" s="1"/>
  <c r="H38" i="6" a="1"/>
  <c r="H38" i="6" s="1"/>
  <c r="I38" i="6" a="1"/>
  <c r="I38" i="6" s="1"/>
  <c r="J38" i="6" a="1"/>
  <c r="J38" i="6" s="1"/>
  <c r="B39" i="6" a="1"/>
  <c r="B39" i="6" s="1"/>
  <c r="C39" i="6" a="1"/>
  <c r="C39" i="6" s="1"/>
  <c r="D39" i="6" a="1"/>
  <c r="D39" i="6" s="1"/>
  <c r="E39" i="6" a="1"/>
  <c r="E39" i="6" s="1"/>
  <c r="F39" i="6" a="1"/>
  <c r="F39" i="6" s="1"/>
  <c r="G39" i="6" a="1"/>
  <c r="G39" i="6" s="1"/>
  <c r="H39" i="6" a="1"/>
  <c r="H39" i="6" s="1"/>
  <c r="I39" i="6" a="1"/>
  <c r="I39" i="6" s="1"/>
  <c r="J39" i="6" a="1"/>
  <c r="J39" i="6" s="1"/>
  <c r="B40" i="6" a="1"/>
  <c r="B40" i="6" s="1"/>
  <c r="C40" i="6" a="1"/>
  <c r="C40" i="6" s="1"/>
  <c r="D40" i="6" a="1"/>
  <c r="D40" i="6" s="1"/>
  <c r="E40" i="6" a="1"/>
  <c r="E40" i="6" s="1"/>
  <c r="F40" i="6" a="1"/>
  <c r="F40" i="6" s="1"/>
  <c r="G40" i="6" a="1"/>
  <c r="G40" i="6" s="1"/>
  <c r="H40" i="6" a="1"/>
  <c r="H40" i="6" s="1"/>
  <c r="I40" i="6" a="1"/>
  <c r="I40" i="6" s="1"/>
  <c r="J40" i="6" a="1"/>
  <c r="J40" i="6" s="1"/>
  <c r="B41" i="6" a="1"/>
  <c r="B41" i="6" s="1"/>
  <c r="C41" i="6" a="1"/>
  <c r="C41" i="6" s="1"/>
  <c r="D41" i="6" a="1"/>
  <c r="D41" i="6" s="1"/>
  <c r="E41" i="6" a="1"/>
  <c r="E41" i="6" s="1"/>
  <c r="F41" i="6" a="1"/>
  <c r="F41" i="6" s="1"/>
  <c r="G41" i="6" a="1"/>
  <c r="G41" i="6" s="1"/>
  <c r="H41" i="6" a="1"/>
  <c r="H41" i="6" s="1"/>
  <c r="I41" i="6" a="1"/>
  <c r="I41" i="6" s="1"/>
  <c r="J41" i="6" a="1"/>
  <c r="J41" i="6" s="1"/>
  <c r="B42" i="6" a="1"/>
  <c r="B42" i="6" s="1"/>
  <c r="C42" i="6" a="1"/>
  <c r="C42" i="6" s="1"/>
  <c r="D42" i="6" a="1"/>
  <c r="D42" i="6" s="1"/>
  <c r="E42" i="6" a="1"/>
  <c r="E42" i="6" s="1"/>
  <c r="F42" i="6" a="1"/>
  <c r="F42" i="6" s="1"/>
  <c r="G42" i="6" a="1"/>
  <c r="G42" i="6" s="1"/>
  <c r="H42" i="6" a="1"/>
  <c r="H42" i="6" s="1"/>
  <c r="I42" i="6" a="1"/>
  <c r="I42" i="6" s="1"/>
  <c r="J42" i="6" a="1"/>
  <c r="J42" i="6" s="1"/>
  <c r="B43" i="6" a="1"/>
  <c r="B43" i="6" s="1"/>
  <c r="C43" i="6" a="1"/>
  <c r="C43" i="6" s="1"/>
  <c r="D43" i="6" a="1"/>
  <c r="D43" i="6" s="1"/>
  <c r="E43" i="6" a="1"/>
  <c r="E43" i="6" s="1"/>
  <c r="F43" i="6" a="1"/>
  <c r="F43" i="6" s="1"/>
  <c r="G43" i="6" a="1"/>
  <c r="G43" i="6" s="1"/>
  <c r="H43" i="6" a="1"/>
  <c r="H43" i="6" s="1"/>
  <c r="I43" i="6" a="1"/>
  <c r="I43" i="6" s="1"/>
  <c r="J43" i="6" a="1"/>
  <c r="J43" i="6" s="1"/>
  <c r="B44" i="6" a="1"/>
  <c r="B44" i="6" s="1"/>
  <c r="C44" i="6" a="1"/>
  <c r="C44" i="6" s="1"/>
  <c r="D44" i="6" a="1"/>
  <c r="D44" i="6" s="1"/>
  <c r="E44" i="6" a="1"/>
  <c r="E44" i="6" s="1"/>
  <c r="F44" i="6" a="1"/>
  <c r="F44" i="6" s="1"/>
  <c r="G44" i="6" a="1"/>
  <c r="G44" i="6" s="1"/>
  <c r="H44" i="6" a="1"/>
  <c r="H44" i="6" s="1"/>
  <c r="I44" i="6" a="1"/>
  <c r="I44" i="6" s="1"/>
  <c r="J44" i="6" a="1"/>
  <c r="J44" i="6" s="1"/>
  <c r="B45" i="6" a="1"/>
  <c r="B45" i="6" s="1"/>
  <c r="C45" i="6" a="1"/>
  <c r="C45" i="6" s="1"/>
  <c r="D45" i="6" a="1"/>
  <c r="D45" i="6" s="1"/>
  <c r="E45" i="6" a="1"/>
  <c r="E45" i="6" s="1"/>
  <c r="F45" i="6" a="1"/>
  <c r="F45" i="6" s="1"/>
  <c r="G45" i="6" a="1"/>
  <c r="G45" i="6" s="1"/>
  <c r="H45" i="6" a="1"/>
  <c r="H45" i="6" s="1"/>
  <c r="I45" i="6" a="1"/>
  <c r="I45" i="6" s="1"/>
  <c r="J45" i="6" a="1"/>
  <c r="J45" i="6" s="1"/>
  <c r="B46" i="6" a="1"/>
  <c r="B46" i="6" s="1"/>
  <c r="C46" i="6" a="1"/>
  <c r="C46" i="6" s="1"/>
  <c r="D46" i="6" a="1"/>
  <c r="D46" i="6" s="1"/>
  <c r="E46" i="6" a="1"/>
  <c r="E46" i="6" s="1"/>
  <c r="F46" i="6" a="1"/>
  <c r="F46" i="6" s="1"/>
  <c r="G46" i="6" a="1"/>
  <c r="G46" i="6" s="1"/>
  <c r="H46" i="6" a="1"/>
  <c r="H46" i="6" s="1"/>
  <c r="I46" i="6" a="1"/>
  <c r="I46" i="6" s="1"/>
  <c r="J46" i="6" a="1"/>
  <c r="J46" i="6" s="1"/>
  <c r="B47" i="6" a="1"/>
  <c r="B47" i="6" s="1"/>
  <c r="C47" i="6" a="1"/>
  <c r="C47" i="6" s="1"/>
  <c r="D47" i="6" a="1"/>
  <c r="D47" i="6" s="1"/>
  <c r="E47" i="6" a="1"/>
  <c r="E47" i="6" s="1"/>
  <c r="F47" i="6" a="1"/>
  <c r="F47" i="6" s="1"/>
  <c r="G47" i="6" a="1"/>
  <c r="G47" i="6" s="1"/>
  <c r="H47" i="6" a="1"/>
  <c r="H47" i="6" s="1"/>
  <c r="I47" i="6" a="1"/>
  <c r="I47" i="6" s="1"/>
  <c r="J47" i="6" a="1"/>
  <c r="J47" i="6" s="1"/>
  <c r="B48" i="6" a="1"/>
  <c r="B48" i="6" s="1"/>
  <c r="C48" i="6" a="1"/>
  <c r="C48" i="6" s="1"/>
  <c r="D48" i="6" a="1"/>
  <c r="D48" i="6" s="1"/>
  <c r="E48" i="6" a="1"/>
  <c r="E48" i="6" s="1"/>
  <c r="F48" i="6" a="1"/>
  <c r="F48" i="6" s="1"/>
  <c r="G48" i="6" a="1"/>
  <c r="G48" i="6" s="1"/>
  <c r="H48" i="6" a="1"/>
  <c r="H48" i="6" s="1"/>
  <c r="I48" i="6" a="1"/>
  <c r="I48" i="6" s="1"/>
  <c r="J48" i="6" a="1"/>
  <c r="J48" i="6" s="1"/>
  <c r="B49" i="6" a="1"/>
  <c r="B49" i="6" s="1"/>
  <c r="C49" i="6" a="1"/>
  <c r="C49" i="6" s="1"/>
  <c r="D49" i="6" a="1"/>
  <c r="D49" i="6" s="1"/>
  <c r="E49" i="6" a="1"/>
  <c r="E49" i="6" s="1"/>
  <c r="F49" i="6" a="1"/>
  <c r="F49" i="6" s="1"/>
  <c r="G49" i="6" a="1"/>
  <c r="G49" i="6" s="1"/>
  <c r="H49" i="6" a="1"/>
  <c r="H49" i="6" s="1"/>
  <c r="I49" i="6" a="1"/>
  <c r="I49" i="6" s="1"/>
  <c r="J49" i="6" a="1"/>
  <c r="J49" i="6" s="1"/>
  <c r="B50" i="6" a="1"/>
  <c r="B50" i="6" s="1"/>
  <c r="C50" i="6" a="1"/>
  <c r="C50" i="6" s="1"/>
  <c r="D50" i="6" a="1"/>
  <c r="D50" i="6" s="1"/>
  <c r="E50" i="6" a="1"/>
  <c r="E50" i="6" s="1"/>
  <c r="F50" i="6" a="1"/>
  <c r="F50" i="6" s="1"/>
  <c r="G50" i="6" a="1"/>
  <c r="G50" i="6" s="1"/>
  <c r="H50" i="6" a="1"/>
  <c r="H50" i="6" s="1"/>
  <c r="I50" i="6" a="1"/>
  <c r="I50" i="6" s="1"/>
  <c r="J50" i="6" a="1"/>
  <c r="J50" i="6" s="1"/>
  <c r="B51" i="6" a="1"/>
  <c r="B51" i="6" s="1"/>
  <c r="C51" i="6" a="1"/>
  <c r="C51" i="6" s="1"/>
  <c r="D51" i="6" a="1"/>
  <c r="D51" i="6" s="1"/>
  <c r="E51" i="6" a="1"/>
  <c r="E51" i="6" s="1"/>
  <c r="F51" i="6" a="1"/>
  <c r="F51" i="6" s="1"/>
  <c r="G51" i="6" a="1"/>
  <c r="G51" i="6" s="1"/>
  <c r="H51" i="6" a="1"/>
  <c r="H51" i="6" s="1"/>
  <c r="I51" i="6" a="1"/>
  <c r="I51" i="6" s="1"/>
  <c r="J51" i="6" a="1"/>
  <c r="J51" i="6" s="1"/>
  <c r="A34" i="6" a="1"/>
  <c r="A34" i="6" s="1"/>
  <c r="A35" i="6" a="1"/>
  <c r="A35" i="6" s="1"/>
  <c r="A36" i="6" a="1"/>
  <c r="A36" i="6" s="1"/>
  <c r="A37" i="6" a="1"/>
  <c r="A37" i="6" s="1"/>
  <c r="A38" i="6" a="1"/>
  <c r="A38" i="6" s="1"/>
  <c r="A39" i="6" a="1"/>
  <c r="A39" i="6" s="1"/>
  <c r="A40" i="6" a="1"/>
  <c r="A40" i="6" s="1"/>
  <c r="A41" i="6" a="1"/>
  <c r="A41" i="6" s="1"/>
  <c r="A42" i="6" a="1"/>
  <c r="A42" i="6" s="1"/>
  <c r="A43" i="6" a="1"/>
  <c r="A43" i="6" s="1"/>
  <c r="A44" i="6" a="1"/>
  <c r="A44" i="6" s="1"/>
  <c r="A45" i="6" a="1"/>
  <c r="A45" i="6" s="1"/>
  <c r="A46" i="6" a="1"/>
  <c r="A46" i="6" s="1"/>
  <c r="A47" i="6" a="1"/>
  <c r="A47" i="6" s="1"/>
  <c r="A48" i="6" a="1"/>
  <c r="A48" i="6" s="1"/>
  <c r="A49" i="6" a="1"/>
  <c r="A49" i="6" s="1"/>
  <c r="A50" i="6" a="1"/>
  <c r="A50" i="6" s="1"/>
  <c r="A51" i="6" a="1"/>
  <c r="A51" i="6" s="1"/>
  <c r="A33" i="6" a="1"/>
  <c r="A33" i="6" s="1"/>
  <c r="I72" i="6"/>
  <c r="I87" i="6"/>
  <c r="I82" i="6"/>
  <c r="L89" i="6"/>
  <c r="L78" i="6"/>
  <c r="L74" i="6"/>
  <c r="L70" i="6"/>
  <c r="L67" i="6"/>
  <c r="L57" i="6"/>
  <c r="L55" i="6"/>
  <c r="I81" i="6"/>
  <c r="I65" i="6"/>
  <c r="I54" i="6"/>
  <c r="I55" i="6"/>
  <c r="I60" i="6"/>
  <c r="F309" i="30"/>
  <c r="F300" i="30"/>
  <c r="F293" i="30"/>
  <c r="F284" i="30"/>
  <c r="F275" i="30"/>
  <c r="F10" i="30"/>
  <c r="F257" i="30"/>
  <c r="F246" i="30"/>
  <c r="F233" i="30"/>
  <c r="F222" i="30"/>
  <c r="F212" i="30"/>
  <c r="F202" i="30"/>
  <c r="F190" i="30"/>
  <c r="F174" i="30"/>
  <c r="F166" i="30"/>
  <c r="F157" i="30"/>
  <c r="F146" i="30"/>
  <c r="F136" i="30"/>
  <c r="F127" i="30"/>
  <c r="F118" i="30"/>
  <c r="F108" i="30"/>
  <c r="F97" i="30"/>
  <c r="F88" i="30"/>
  <c r="F75" i="30"/>
  <c r="F66" i="30"/>
  <c r="F45" i="30"/>
  <c r="F29" i="30"/>
  <c r="F18" i="30"/>
  <c r="N156" i="30"/>
  <c r="J156" i="30"/>
  <c r="E156" i="30"/>
  <c r="N155" i="30"/>
  <c r="M155" i="30"/>
  <c r="L155" i="30"/>
  <c r="K155" i="30"/>
  <c r="J155" i="30"/>
  <c r="I155" i="30"/>
  <c r="H155" i="30"/>
  <c r="G155" i="30"/>
  <c r="F155" i="30"/>
  <c r="E155" i="30"/>
  <c r="D155" i="30"/>
  <c r="N154" i="30"/>
  <c r="M154" i="30"/>
  <c r="L154" i="30"/>
  <c r="K154" i="30"/>
  <c r="J154" i="30"/>
  <c r="I154" i="30"/>
  <c r="H154" i="30"/>
  <c r="G154" i="30"/>
  <c r="F154" i="30"/>
  <c r="E154" i="30"/>
  <c r="D154" i="30"/>
  <c r="N153" i="30"/>
  <c r="M153" i="30"/>
  <c r="L153" i="30"/>
  <c r="K153" i="30"/>
  <c r="J153" i="30"/>
  <c r="I153" i="30"/>
  <c r="H153" i="30"/>
  <c r="G153" i="30"/>
  <c r="F153" i="30"/>
  <c r="E153" i="30"/>
  <c r="D153" i="30"/>
  <c r="N152" i="30"/>
  <c r="M152" i="30"/>
  <c r="L152" i="30"/>
  <c r="K152" i="30"/>
  <c r="J152" i="30"/>
  <c r="I152" i="30"/>
  <c r="H152" i="30"/>
  <c r="G152" i="30"/>
  <c r="F152" i="30"/>
  <c r="E152" i="30"/>
  <c r="D152" i="30"/>
  <c r="N151" i="30"/>
  <c r="M151" i="30"/>
  <c r="L151" i="30"/>
  <c r="K151" i="30"/>
  <c r="J151" i="30"/>
  <c r="I151" i="30"/>
  <c r="H151" i="30"/>
  <c r="G151" i="30"/>
  <c r="F151" i="30"/>
  <c r="E151" i="30"/>
  <c r="D151" i="30"/>
  <c r="N150" i="30"/>
  <c r="M150" i="30"/>
  <c r="L150" i="30"/>
  <c r="K150" i="30"/>
  <c r="J150" i="30"/>
  <c r="I150" i="30"/>
  <c r="H150" i="30"/>
  <c r="G150" i="30"/>
  <c r="F150" i="30"/>
  <c r="E150" i="30"/>
  <c r="D150" i="30"/>
  <c r="D148" i="30"/>
  <c r="L6" i="8"/>
  <c r="J3" i="8"/>
  <c r="B39" i="8"/>
  <c r="N6" i="7"/>
  <c r="N10" i="7"/>
  <c r="N7" i="7"/>
  <c r="N8" i="7"/>
  <c r="N9" i="7"/>
  <c r="N5" i="7"/>
  <c r="E7" i="7"/>
  <c r="E6" i="7"/>
  <c r="H6" i="7"/>
  <c r="H5" i="7"/>
  <c r="E5" i="7"/>
  <c r="H7" i="7"/>
  <c r="AQ32" i="67" l="1"/>
  <c r="AR33" i="67" s="1"/>
  <c r="K6" i="7"/>
  <c r="K7" i="7"/>
  <c r="K5" i="7"/>
  <c r="O9" i="7"/>
  <c r="O8" i="7"/>
  <c r="O7" i="7"/>
  <c r="O10" i="7"/>
  <c r="O6" i="7"/>
  <c r="O5" i="7"/>
  <c r="AH13" i="67"/>
  <c r="D34" i="67" s="1"/>
  <c r="E34" i="67" s="1"/>
  <c r="AQ18" i="67"/>
  <c r="AR19" i="67" s="1"/>
  <c r="AQ36" i="67"/>
  <c r="AR37" i="67" s="1"/>
  <c r="AQ38" i="67"/>
  <c r="AH14" i="67"/>
  <c r="D33" i="67" s="1"/>
  <c r="E33" i="67" s="1"/>
  <c r="AH12" i="67"/>
  <c r="C36" i="67" s="1"/>
  <c r="AH15" i="67"/>
  <c r="AQ26" i="67"/>
  <c r="AR27" i="67" s="1"/>
  <c r="AQ30" i="67"/>
  <c r="AR31" i="67" s="1"/>
  <c r="AQ35" i="67"/>
  <c r="AR36" i="67" s="1"/>
  <c r="Y31" i="68"/>
  <c r="E37" i="68"/>
  <c r="E27" i="68" s="1"/>
  <c r="Y30" i="68"/>
  <c r="Y29" i="68" s="1"/>
  <c r="L5" i="68" s="1"/>
  <c r="AK17" i="68"/>
  <c r="AL17" i="68"/>
  <c r="AJ16" i="68"/>
  <c r="AJ22" i="68"/>
  <c r="E37" i="67"/>
  <c r="E27" i="67" s="1"/>
  <c r="AJ9" i="68"/>
  <c r="AJ10" i="68"/>
  <c r="AJ11" i="68"/>
  <c r="AJ12" i="68"/>
  <c r="AJ13" i="68"/>
  <c r="AJ14" i="68"/>
  <c r="AJ15" i="68"/>
  <c r="AQ17" i="68"/>
  <c r="AR18" i="68" s="1"/>
  <c r="AJ19" i="68"/>
  <c r="AQ20" i="68"/>
  <c r="AR21" i="68" s="1"/>
  <c r="AQ22" i="68"/>
  <c r="AR23" i="68" s="1"/>
  <c r="AQ28" i="68"/>
  <c r="AR29" i="68" s="1"/>
  <c r="V31" i="68"/>
  <c r="Y32" i="68" s="1"/>
  <c r="AQ33" i="68"/>
  <c r="AR34" i="68" s="1"/>
  <c r="AQ34" i="68"/>
  <c r="AR35" i="68" s="1"/>
  <c r="AJ20" i="68"/>
  <c r="AQ16" i="68"/>
  <c r="AR17" i="68" s="1"/>
  <c r="AJ18" i="68"/>
  <c r="AJ21" i="68"/>
  <c r="AJ23" i="68"/>
  <c r="AJ24" i="68"/>
  <c r="AQ25" i="68"/>
  <c r="AR26" i="68" s="1"/>
  <c r="J28" i="68"/>
  <c r="AQ29" i="68"/>
  <c r="AR30" i="68" s="1"/>
  <c r="AQ37" i="68"/>
  <c r="AR38" i="68" s="1"/>
  <c r="AQ8" i="68"/>
  <c r="AR9" i="68" s="1"/>
  <c r="AQ9" i="68"/>
  <c r="AR10" i="68" s="1"/>
  <c r="AQ10" i="68"/>
  <c r="AR11" i="68" s="1"/>
  <c r="AQ11" i="68"/>
  <c r="AR12" i="68" s="1"/>
  <c r="AQ12" i="68"/>
  <c r="AR13" i="68" s="1"/>
  <c r="AQ13" i="68"/>
  <c r="AR14" i="68" s="1"/>
  <c r="AQ14" i="68"/>
  <c r="AR15" i="68" s="1"/>
  <c r="AQ15" i="68"/>
  <c r="AR16" i="68" s="1"/>
  <c r="AQ19" i="68"/>
  <c r="AR20" i="68" s="1"/>
  <c r="AQ21" i="68"/>
  <c r="AR22" i="68" s="1"/>
  <c r="AQ23" i="68"/>
  <c r="AR24" i="68" s="1"/>
  <c r="AQ24" i="68"/>
  <c r="AR25" i="68" s="1"/>
  <c r="AQ27" i="68"/>
  <c r="AR28" i="68" s="1"/>
  <c r="J31" i="68"/>
  <c r="Y31" i="67"/>
  <c r="AL17" i="67"/>
  <c r="AK17" i="67"/>
  <c r="Y30" i="67"/>
  <c r="Y29" i="67" s="1"/>
  <c r="L5" i="67" s="1"/>
  <c r="AJ20" i="67"/>
  <c r="AJ9" i="67"/>
  <c r="AJ10" i="67"/>
  <c r="AJ11" i="67"/>
  <c r="AJ12" i="67"/>
  <c r="AJ13" i="67"/>
  <c r="AJ14" i="67"/>
  <c r="AJ15" i="67"/>
  <c r="AQ17" i="67"/>
  <c r="AR18" i="67" s="1"/>
  <c r="AJ19" i="67"/>
  <c r="AQ20" i="67"/>
  <c r="AR21" i="67" s="1"/>
  <c r="AQ22" i="67"/>
  <c r="AR23" i="67" s="1"/>
  <c r="AQ28" i="67"/>
  <c r="AR29" i="67" s="1"/>
  <c r="V31" i="67"/>
  <c r="Y32" i="67" s="1"/>
  <c r="AQ33" i="67"/>
  <c r="AR34" i="67" s="1"/>
  <c r="AQ34" i="67"/>
  <c r="AR35" i="67" s="1"/>
  <c r="AJ16" i="67"/>
  <c r="AJ22" i="67"/>
  <c r="AQ16" i="67"/>
  <c r="AR17" i="67" s="1"/>
  <c r="AJ18" i="67"/>
  <c r="AJ21" i="67"/>
  <c r="AJ23" i="67"/>
  <c r="AJ24" i="67"/>
  <c r="AQ25" i="67"/>
  <c r="AR26" i="67" s="1"/>
  <c r="J28" i="67"/>
  <c r="AQ29" i="67"/>
  <c r="AR30" i="67" s="1"/>
  <c r="AQ37" i="67"/>
  <c r="AR38" i="67" s="1"/>
  <c r="AQ8" i="67"/>
  <c r="AR9" i="67" s="1"/>
  <c r="AQ9" i="67"/>
  <c r="AR10" i="67" s="1"/>
  <c r="AQ10" i="67"/>
  <c r="AR11" i="67" s="1"/>
  <c r="AQ11" i="67"/>
  <c r="AR12" i="67" s="1"/>
  <c r="AQ12" i="67"/>
  <c r="AR13" i="67" s="1"/>
  <c r="AQ13" i="67"/>
  <c r="AR14" i="67" s="1"/>
  <c r="AQ14" i="67"/>
  <c r="AR15" i="67" s="1"/>
  <c r="AQ15" i="67"/>
  <c r="AR16" i="67" s="1"/>
  <c r="AQ19" i="67"/>
  <c r="AR20" i="67" s="1"/>
  <c r="AQ21" i="67"/>
  <c r="AR22" i="67" s="1"/>
  <c r="AQ23" i="67"/>
  <c r="AR24" i="67" s="1"/>
  <c r="AQ24" i="67"/>
  <c r="AR25" i="67" s="1"/>
  <c r="AQ27" i="67"/>
  <c r="AR28" i="67" s="1"/>
  <c r="J31" i="67"/>
  <c r="B40" i="8"/>
  <c r="O4" i="7" l="1"/>
  <c r="K8" i="7"/>
  <c r="B8" i="7" s="1"/>
  <c r="B9" i="7"/>
  <c r="AN17" i="68"/>
  <c r="AO17" i="68" s="1"/>
  <c r="AM17" i="68"/>
  <c r="AK21" i="68"/>
  <c r="AL21" i="68"/>
  <c r="AL15" i="68"/>
  <c r="AK15" i="68"/>
  <c r="AL11" i="68"/>
  <c r="AK11" i="68"/>
  <c r="AL22" i="68"/>
  <c r="AK22" i="68"/>
  <c r="AR8" i="68"/>
  <c r="L4" i="68" s="1"/>
  <c r="AK18" i="68"/>
  <c r="AL18" i="68"/>
  <c r="AL14" i="68"/>
  <c r="AK14" i="68"/>
  <c r="AL10" i="68"/>
  <c r="AK10" i="68"/>
  <c r="AL16" i="68"/>
  <c r="AK16" i="68"/>
  <c r="AK23" i="68"/>
  <c r="AL23" i="68"/>
  <c r="AL20" i="68"/>
  <c r="AK20" i="68"/>
  <c r="AL12" i="68"/>
  <c r="AK12" i="68"/>
  <c r="AK24" i="68"/>
  <c r="AL24" i="68"/>
  <c r="AL19" i="68"/>
  <c r="AK19" i="68"/>
  <c r="AL13" i="68"/>
  <c r="AK13" i="68"/>
  <c r="AL9" i="68"/>
  <c r="AK9" i="68"/>
  <c r="AK18" i="67"/>
  <c r="AL18" i="67"/>
  <c r="AL15" i="67"/>
  <c r="AK15" i="67"/>
  <c r="AL11" i="67"/>
  <c r="AK11" i="67"/>
  <c r="AR8" i="67"/>
  <c r="L4" i="67" s="1"/>
  <c r="AL14" i="67"/>
  <c r="AK14" i="67"/>
  <c r="AL10" i="67"/>
  <c r="AK10" i="67"/>
  <c r="AN17" i="67"/>
  <c r="AO17" i="67" s="1"/>
  <c r="AM17" i="67"/>
  <c r="AK23" i="67"/>
  <c r="AL23" i="67"/>
  <c r="AL22" i="67"/>
  <c r="AK22" i="67"/>
  <c r="AL19" i="67"/>
  <c r="AK19" i="67"/>
  <c r="AL13" i="67"/>
  <c r="AK13" i="67"/>
  <c r="AL9" i="67"/>
  <c r="AK9" i="67"/>
  <c r="AK24" i="67"/>
  <c r="AL24" i="67"/>
  <c r="AK21" i="67"/>
  <c r="AL21" i="67"/>
  <c r="AL16" i="67"/>
  <c r="AK16" i="67"/>
  <c r="AL12" i="67"/>
  <c r="AK12" i="67"/>
  <c r="AL20" i="67"/>
  <c r="AK20" i="67"/>
  <c r="L28" i="8"/>
  <c r="I91" i="6"/>
  <c r="I90" i="6"/>
  <c r="I89" i="6"/>
  <c r="I88" i="6"/>
  <c r="I86" i="6"/>
  <c r="I85" i="6"/>
  <c r="I84" i="6"/>
  <c r="I83" i="6"/>
  <c r="I80" i="6"/>
  <c r="I79" i="6"/>
  <c r="I78" i="6"/>
  <c r="I77" i="6"/>
  <c r="I76" i="6"/>
  <c r="I75" i="6"/>
  <c r="I74" i="6"/>
  <c r="I73" i="6"/>
  <c r="I71" i="6"/>
  <c r="I70" i="6"/>
  <c r="I69" i="6"/>
  <c r="I68" i="6"/>
  <c r="I67" i="6"/>
  <c r="I66" i="6"/>
  <c r="I64" i="6"/>
  <c r="I63" i="6"/>
  <c r="I62" i="6"/>
  <c r="I61" i="6"/>
  <c r="I59" i="6"/>
  <c r="I58" i="6"/>
  <c r="I57" i="6"/>
  <c r="I56" i="6"/>
  <c r="I53" i="6"/>
  <c r="C5" i="7"/>
  <c r="D5" i="7"/>
  <c r="I7" i="7"/>
  <c r="I6" i="7"/>
  <c r="AM13" i="68" l="1"/>
  <c r="AN13" i="68"/>
  <c r="AO13" i="68" s="1"/>
  <c r="AM20" i="68"/>
  <c r="AN20" i="68"/>
  <c r="AM16" i="68"/>
  <c r="AN16" i="68"/>
  <c r="AO16" i="68" s="1"/>
  <c r="AN14" i="68"/>
  <c r="AO14" i="68" s="1"/>
  <c r="AM14" i="68"/>
  <c r="AN21" i="68"/>
  <c r="AM21" i="68"/>
  <c r="AN23" i="68"/>
  <c r="AM23" i="68"/>
  <c r="AN18" i="68"/>
  <c r="AO18" i="68" s="1"/>
  <c r="AM18" i="68"/>
  <c r="AN24" i="68"/>
  <c r="AM24" i="68"/>
  <c r="AM22" i="68"/>
  <c r="AN22" i="68"/>
  <c r="AM15" i="68"/>
  <c r="AN15" i="68"/>
  <c r="AO15" i="68" s="1"/>
  <c r="AN11" i="68"/>
  <c r="AO11" i="68" s="1"/>
  <c r="AM11" i="68"/>
  <c r="AM9" i="68"/>
  <c r="AN9" i="68"/>
  <c r="AN19" i="68"/>
  <c r="AO19" i="68" s="1"/>
  <c r="AM19" i="68"/>
  <c r="AM12" i="68"/>
  <c r="AN12" i="68"/>
  <c r="AO12" i="68" s="1"/>
  <c r="AN10" i="68"/>
  <c r="AO10" i="68" s="1"/>
  <c r="AM10" i="68"/>
  <c r="AN24" i="67"/>
  <c r="AM24" i="67"/>
  <c r="AN21" i="67"/>
  <c r="AM21" i="67"/>
  <c r="AN23" i="67"/>
  <c r="AM23" i="67"/>
  <c r="AN11" i="67"/>
  <c r="AO11" i="67" s="1"/>
  <c r="AM11" i="67"/>
  <c r="AN15" i="67"/>
  <c r="AO15" i="67" s="1"/>
  <c r="AM15" i="67"/>
  <c r="AM12" i="67"/>
  <c r="AN12" i="67"/>
  <c r="AO12" i="67" s="1"/>
  <c r="AN9" i="67"/>
  <c r="AM9" i="67"/>
  <c r="AN19" i="67"/>
  <c r="AO19" i="67" s="1"/>
  <c r="AM19" i="67"/>
  <c r="AM10" i="67"/>
  <c r="AN10" i="67"/>
  <c r="AO10" i="67" s="1"/>
  <c r="AM20" i="67"/>
  <c r="AN20" i="67"/>
  <c r="AM16" i="67"/>
  <c r="AN16" i="67"/>
  <c r="AO16" i="67" s="1"/>
  <c r="AN13" i="67"/>
  <c r="AO13" i="67" s="1"/>
  <c r="AM13" i="67"/>
  <c r="AM22" i="67"/>
  <c r="AN22" i="67"/>
  <c r="AM14" i="67"/>
  <c r="AN14" i="67"/>
  <c r="AO14" i="67" s="1"/>
  <c r="AN18" i="67"/>
  <c r="AO18" i="67" s="1"/>
  <c r="AM18" i="67"/>
  <c r="J5" i="8"/>
  <c r="J4" i="8"/>
  <c r="U32" i="8"/>
  <c r="U31" i="8"/>
  <c r="U30" i="8"/>
  <c r="U28" i="8"/>
  <c r="V30" i="8" s="1"/>
  <c r="AH11" i="8"/>
  <c r="AM8" i="67" l="1"/>
  <c r="L3" i="67" s="1"/>
  <c r="AO9" i="68"/>
  <c r="AO8" i="68" s="1"/>
  <c r="L2" i="68" s="1"/>
  <c r="AN8" i="68"/>
  <c r="AM8" i="68"/>
  <c r="L3" i="68" s="1"/>
  <c r="AO9" i="67"/>
  <c r="AO8" i="67" s="1"/>
  <c r="L2" i="67" s="1"/>
  <c r="AN8" i="67"/>
  <c r="V31" i="8"/>
  <c r="Y32" i="8" s="1"/>
  <c r="AH8" i="8"/>
  <c r="AE10" i="8"/>
  <c r="AE11" i="8"/>
  <c r="AE12" i="8"/>
  <c r="AE13" i="8"/>
  <c r="AE14" i="8"/>
  <c r="AE15" i="8"/>
  <c r="AE16" i="8"/>
  <c r="AE17" i="8"/>
  <c r="AE18" i="8"/>
  <c r="AE19" i="8"/>
  <c r="AE20" i="8"/>
  <c r="AE21" i="8"/>
  <c r="AE22" i="8"/>
  <c r="AE23" i="8"/>
  <c r="AD13" i="8"/>
  <c r="AD14" i="8"/>
  <c r="AD15" i="8"/>
  <c r="AD16" i="8"/>
  <c r="AD17" i="8"/>
  <c r="AD18" i="8"/>
  <c r="AD19" i="8"/>
  <c r="AD20" i="8"/>
  <c r="AD21" i="8"/>
  <c r="AD22" i="8"/>
  <c r="AD23" i="8"/>
  <c r="I23" i="8"/>
  <c r="H23" i="8"/>
  <c r="G23" i="8"/>
  <c r="F23" i="8"/>
  <c r="E23" i="8"/>
  <c r="I22" i="8"/>
  <c r="H22" i="8"/>
  <c r="G22" i="8"/>
  <c r="F22" i="8"/>
  <c r="E22" i="8"/>
  <c r="I21" i="8"/>
  <c r="H21" i="8"/>
  <c r="G21" i="8"/>
  <c r="F21" i="8"/>
  <c r="E21" i="8"/>
  <c r="I20" i="8"/>
  <c r="H20" i="8"/>
  <c r="G20" i="8"/>
  <c r="F20" i="8"/>
  <c r="E20" i="8"/>
  <c r="I19" i="8"/>
  <c r="H19" i="8"/>
  <c r="G19" i="8"/>
  <c r="F19" i="8"/>
  <c r="E19" i="8"/>
  <c r="I18" i="8"/>
  <c r="H18" i="8"/>
  <c r="G18" i="8"/>
  <c r="F18" i="8"/>
  <c r="E18" i="8"/>
  <c r="I17" i="8"/>
  <c r="H17" i="8"/>
  <c r="G17" i="8"/>
  <c r="F17" i="8"/>
  <c r="E17" i="8"/>
  <c r="I16" i="8"/>
  <c r="H16" i="8"/>
  <c r="G16" i="8"/>
  <c r="F16" i="8"/>
  <c r="E16" i="8"/>
  <c r="I15" i="8"/>
  <c r="H15" i="8"/>
  <c r="G15" i="8"/>
  <c r="F15" i="8"/>
  <c r="E15" i="8"/>
  <c r="I14" i="8"/>
  <c r="H14" i="8"/>
  <c r="G14" i="8"/>
  <c r="F14" i="8"/>
  <c r="E14" i="8"/>
  <c r="I13" i="8"/>
  <c r="H13" i="8"/>
  <c r="G13" i="8"/>
  <c r="F13" i="8"/>
  <c r="E13" i="8"/>
  <c r="I12" i="8"/>
  <c r="H12" i="8"/>
  <c r="G12" i="8"/>
  <c r="F12" i="8"/>
  <c r="E12" i="8"/>
  <c r="I11" i="8"/>
  <c r="H11" i="8"/>
  <c r="G11" i="8"/>
  <c r="F11" i="8"/>
  <c r="E11" i="8"/>
  <c r="I10" i="8"/>
  <c r="H10" i="8"/>
  <c r="G10" i="8"/>
  <c r="F10" i="8"/>
  <c r="E10" i="8"/>
  <c r="I9" i="8"/>
  <c r="H9" i="8"/>
  <c r="G9" i="8"/>
  <c r="F9" i="8"/>
  <c r="E9" i="8"/>
  <c r="I8" i="8"/>
  <c r="H8" i="8"/>
  <c r="G8" i="8"/>
  <c r="F8" i="8"/>
  <c r="E8" i="8"/>
  <c r="AQ8" i="8" l="1"/>
  <c r="AR9" i="8" s="1"/>
  <c r="AQ34" i="8"/>
  <c r="AR35" i="8" s="1"/>
  <c r="AQ38" i="8"/>
  <c r="AQ29" i="8"/>
  <c r="AR30" i="8" s="1"/>
  <c r="AQ33" i="8"/>
  <c r="AR34" i="8" s="1"/>
  <c r="AQ36" i="8"/>
  <c r="AR37" i="8" s="1"/>
  <c r="AQ27" i="8"/>
  <c r="AR28" i="8" s="1"/>
  <c r="AQ31" i="8"/>
  <c r="AR32" i="8" s="1"/>
  <c r="AQ37" i="8"/>
  <c r="AR38" i="8" s="1"/>
  <c r="AQ28" i="8"/>
  <c r="AR29" i="8" s="1"/>
  <c r="AQ32" i="8"/>
  <c r="AR33" i="8" s="1"/>
  <c r="AQ35" i="8"/>
  <c r="AR36" i="8" s="1"/>
  <c r="AQ26" i="8"/>
  <c r="AR27" i="8" s="1"/>
  <c r="AQ30" i="8"/>
  <c r="AR31" i="8" s="1"/>
  <c r="Y31" i="8"/>
  <c r="Y30" i="8"/>
  <c r="AQ23" i="8"/>
  <c r="AR24" i="8" s="1"/>
  <c r="AQ19" i="8"/>
  <c r="AR20" i="8" s="1"/>
  <c r="AQ15" i="8"/>
  <c r="AR16" i="8" s="1"/>
  <c r="AQ11" i="8"/>
  <c r="AR12" i="8" s="1"/>
  <c r="AQ21" i="8"/>
  <c r="AR22" i="8" s="1"/>
  <c r="AQ17" i="8"/>
  <c r="AR18" i="8" s="1"/>
  <c r="AQ9" i="8"/>
  <c r="AR10" i="8" s="1"/>
  <c r="AQ20" i="8"/>
  <c r="AR21" i="8" s="1"/>
  <c r="AQ16" i="8"/>
  <c r="AR17" i="8" s="1"/>
  <c r="AQ22" i="8"/>
  <c r="AR23" i="8" s="1"/>
  <c r="AQ18" i="8"/>
  <c r="AR19" i="8" s="1"/>
  <c r="AQ14" i="8"/>
  <c r="AR15" i="8" s="1"/>
  <c r="AQ10" i="8"/>
  <c r="AR11" i="8" s="1"/>
  <c r="AQ25" i="8"/>
  <c r="AR26" i="8" s="1"/>
  <c r="AQ13" i="8"/>
  <c r="AR14" i="8" s="1"/>
  <c r="AQ24" i="8"/>
  <c r="AR25" i="8" s="1"/>
  <c r="AQ12" i="8"/>
  <c r="AR13" i="8" s="1"/>
  <c r="J28" i="8"/>
  <c r="J31" i="8"/>
  <c r="AH15" i="8"/>
  <c r="AH14" i="8"/>
  <c r="AH12" i="8"/>
  <c r="AH13" i="8"/>
  <c r="A6" i="43"/>
  <c r="F2" i="8"/>
  <c r="L25" i="8"/>
  <c r="L24" i="8"/>
  <c r="K25" i="8"/>
  <c r="K24" i="8"/>
  <c r="F5" i="7"/>
  <c r="AR8" i="8" l="1"/>
  <c r="Y29" i="8"/>
  <c r="L5" i="8" s="1"/>
  <c r="BH69" i="11"/>
  <c r="BG69" i="11"/>
  <c r="BF69" i="11"/>
  <c r="BE69" i="11"/>
  <c r="BD69" i="11"/>
  <c r="BC69" i="11"/>
  <c r="BB69" i="11"/>
  <c r="BA69" i="11"/>
  <c r="AZ69" i="11"/>
  <c r="AY69" i="11"/>
  <c r="AX69" i="11"/>
  <c r="AW69" i="11"/>
  <c r="AV69" i="11"/>
  <c r="AU69" i="11"/>
  <c r="AT69" i="11"/>
  <c r="AS69" i="11"/>
  <c r="AR69" i="11"/>
  <c r="AQ69" i="11"/>
  <c r="AP69" i="11"/>
  <c r="AO69" i="11"/>
  <c r="AN69" i="11"/>
  <c r="AM69" i="11"/>
  <c r="AJ69" i="11"/>
  <c r="AI69" i="11"/>
  <c r="AH69" i="11"/>
  <c r="AG69" i="11"/>
  <c r="AF69" i="11"/>
  <c r="AE69" i="11"/>
  <c r="AD69" i="11"/>
  <c r="AC69" i="11"/>
  <c r="AB69" i="11"/>
  <c r="AA69" i="11"/>
  <c r="Z69" i="11"/>
  <c r="Y69" i="11"/>
  <c r="X69" i="11"/>
  <c r="W69" i="11"/>
  <c r="V69" i="11"/>
  <c r="U69" i="11"/>
  <c r="T69" i="11"/>
  <c r="S69" i="11"/>
  <c r="R69" i="11"/>
  <c r="Q69" i="11"/>
  <c r="P69" i="11"/>
  <c r="O69" i="11"/>
  <c r="N69" i="11"/>
  <c r="BG20" i="11" s="1"/>
  <c r="N66" i="11"/>
  <c r="BB17" i="11" s="1"/>
  <c r="Z39" i="11"/>
  <c r="E37" i="11"/>
  <c r="E36" i="11"/>
  <c r="E33" i="11"/>
  <c r="E32" i="11"/>
  <c r="E31" i="11"/>
  <c r="D30" i="11"/>
  <c r="E30" i="11" s="1"/>
  <c r="E29" i="11"/>
  <c r="E26" i="11"/>
  <c r="BQ25" i="11"/>
  <c r="J25" i="11"/>
  <c r="I25" i="11"/>
  <c r="H25" i="11"/>
  <c r="G25" i="11"/>
  <c r="F25" i="11"/>
  <c r="E25" i="11"/>
  <c r="BQ24" i="11"/>
  <c r="J24" i="11"/>
  <c r="I24" i="11"/>
  <c r="H24" i="11"/>
  <c r="G24" i="11"/>
  <c r="F24" i="11"/>
  <c r="E24" i="11"/>
  <c r="BK23" i="11"/>
  <c r="BH23" i="11"/>
  <c r="BI23" i="11" s="1"/>
  <c r="AS23" i="11"/>
  <c r="BF23" i="11" s="1"/>
  <c r="AR23" i="11"/>
  <c r="BD23" i="11" s="1"/>
  <c r="AE23" i="11"/>
  <c r="AB23" i="11"/>
  <c r="Y23" i="11"/>
  <c r="V23" i="11"/>
  <c r="S23" i="11"/>
  <c r="P23" i="11"/>
  <c r="K23" i="11"/>
  <c r="BK22" i="11"/>
  <c r="BH22" i="11"/>
  <c r="J22" i="11" s="1"/>
  <c r="AS22" i="11"/>
  <c r="BF22" i="11" s="1"/>
  <c r="AR22" i="11"/>
  <c r="BD22" i="11" s="1"/>
  <c r="AE22" i="11"/>
  <c r="AB22" i="11"/>
  <c r="Y22" i="11"/>
  <c r="V22" i="11"/>
  <c r="S22" i="11"/>
  <c r="P22" i="11"/>
  <c r="K22" i="11"/>
  <c r="BK21" i="11"/>
  <c r="BH21" i="11"/>
  <c r="BI21" i="11" s="1"/>
  <c r="AS21" i="11"/>
  <c r="BF21" i="11" s="1"/>
  <c r="AR21" i="11"/>
  <c r="BD21" i="11" s="1"/>
  <c r="AE21" i="11"/>
  <c r="AB21" i="11"/>
  <c r="Y21" i="11"/>
  <c r="V21" i="11"/>
  <c r="S21" i="11"/>
  <c r="P21" i="11"/>
  <c r="K21" i="11"/>
  <c r="BK20" i="11"/>
  <c r="BH20" i="11"/>
  <c r="J20" i="11" s="1"/>
  <c r="AS20" i="11"/>
  <c r="BF20" i="11" s="1"/>
  <c r="AR20" i="11"/>
  <c r="BD20" i="11" s="1"/>
  <c r="AE20" i="11"/>
  <c r="AB20" i="11"/>
  <c r="Y20" i="11"/>
  <c r="V20" i="11"/>
  <c r="S20" i="11"/>
  <c r="P20" i="11"/>
  <c r="K20" i="11"/>
  <c r="BK19" i="11"/>
  <c r="BH19" i="11"/>
  <c r="J19" i="11" s="1"/>
  <c r="AS19" i="11"/>
  <c r="BF19" i="11" s="1"/>
  <c r="AR19" i="11"/>
  <c r="BD19" i="11" s="1"/>
  <c r="AE19" i="11"/>
  <c r="AB19" i="11"/>
  <c r="Y19" i="11"/>
  <c r="V19" i="11"/>
  <c r="S19" i="11"/>
  <c r="P19" i="11"/>
  <c r="K19" i="11"/>
  <c r="BK18" i="11"/>
  <c r="BH18" i="11"/>
  <c r="BI18" i="11" s="1"/>
  <c r="AS18" i="11"/>
  <c r="BF18" i="11" s="1"/>
  <c r="AR18" i="11"/>
  <c r="BD18" i="11" s="1"/>
  <c r="AE18" i="11"/>
  <c r="AB18" i="11"/>
  <c r="Y18" i="11"/>
  <c r="V18" i="11"/>
  <c r="S18" i="11"/>
  <c r="P18" i="11"/>
  <c r="K18" i="11"/>
  <c r="BK17" i="11"/>
  <c r="BH17" i="11"/>
  <c r="J17" i="11" s="1"/>
  <c r="AS17" i="11"/>
  <c r="BF17" i="11" s="1"/>
  <c r="AR17" i="11"/>
  <c r="BD17" i="11" s="1"/>
  <c r="AE17" i="11"/>
  <c r="AB17" i="11"/>
  <c r="Y17" i="11"/>
  <c r="V17" i="11"/>
  <c r="S17" i="11"/>
  <c r="P17" i="11"/>
  <c r="K17" i="11"/>
  <c r="BK16" i="11"/>
  <c r="BH16" i="11"/>
  <c r="BI16" i="11" s="1"/>
  <c r="AS16" i="11"/>
  <c r="BF16" i="11" s="1"/>
  <c r="AR16" i="11"/>
  <c r="BD16" i="11" s="1"/>
  <c r="AE16" i="11"/>
  <c r="AB16" i="11"/>
  <c r="Y16" i="11"/>
  <c r="V16" i="11"/>
  <c r="S16" i="11"/>
  <c r="P16" i="11"/>
  <c r="K16" i="11"/>
  <c r="BK15" i="11"/>
  <c r="BH15" i="11"/>
  <c r="J15" i="11" s="1"/>
  <c r="AS15" i="11"/>
  <c r="BF15" i="11" s="1"/>
  <c r="AR15" i="11"/>
  <c r="BD15" i="11" s="1"/>
  <c r="AE15" i="11"/>
  <c r="AB15" i="11"/>
  <c r="Y15" i="11"/>
  <c r="V15" i="11"/>
  <c r="S15" i="11"/>
  <c r="P15" i="11"/>
  <c r="K15" i="11"/>
  <c r="BK14" i="11"/>
  <c r="BH14" i="11"/>
  <c r="BI14" i="11" s="1"/>
  <c r="AS14" i="11"/>
  <c r="BF14" i="11" s="1"/>
  <c r="AR14" i="11"/>
  <c r="BD14" i="11" s="1"/>
  <c r="AE14" i="11"/>
  <c r="AB14" i="11"/>
  <c r="Y14" i="11"/>
  <c r="V14" i="11"/>
  <c r="S14" i="11"/>
  <c r="P14" i="11"/>
  <c r="K14" i="11"/>
  <c r="BK13" i="11"/>
  <c r="BH13" i="11"/>
  <c r="J13" i="11" s="1"/>
  <c r="AS13" i="11"/>
  <c r="BF13" i="11" s="1"/>
  <c r="AR13" i="11"/>
  <c r="BD13" i="11" s="1"/>
  <c r="AE13" i="11"/>
  <c r="AB13" i="11"/>
  <c r="Y13" i="11"/>
  <c r="V13" i="11"/>
  <c r="S13" i="11"/>
  <c r="P13" i="11"/>
  <c r="K13" i="11"/>
  <c r="BK12" i="11"/>
  <c r="BH12" i="11"/>
  <c r="BI12" i="11" s="1"/>
  <c r="BG12" i="11"/>
  <c r="AS12" i="11"/>
  <c r="BF12" i="11" s="1"/>
  <c r="AR12" i="11"/>
  <c r="BD12" i="11" s="1"/>
  <c r="AE12" i="11"/>
  <c r="AB12" i="11"/>
  <c r="Y12" i="11"/>
  <c r="V12" i="11"/>
  <c r="S12" i="11"/>
  <c r="P12" i="11"/>
  <c r="K12" i="11"/>
  <c r="BK11" i="11"/>
  <c r="BH11" i="11"/>
  <c r="J11" i="11" s="1"/>
  <c r="AS11" i="11"/>
  <c r="BF11" i="11" s="1"/>
  <c r="AR11" i="11"/>
  <c r="BD11" i="11" s="1"/>
  <c r="AE11" i="11"/>
  <c r="AB11" i="11"/>
  <c r="Y11" i="11"/>
  <c r="V11" i="11"/>
  <c r="S11" i="11"/>
  <c r="P11" i="11"/>
  <c r="K11" i="11"/>
  <c r="BK10" i="11"/>
  <c r="BH10" i="11"/>
  <c r="BI10" i="11" s="1"/>
  <c r="BG10" i="11"/>
  <c r="BB10" i="11"/>
  <c r="AX10" i="11" s="1"/>
  <c r="AS10" i="11"/>
  <c r="BF10" i="11" s="1"/>
  <c r="AR10" i="11"/>
  <c r="BD10" i="11" s="1"/>
  <c r="AE10" i="11"/>
  <c r="AB10" i="11"/>
  <c r="Y10" i="11"/>
  <c r="V10" i="11"/>
  <c r="S10" i="11"/>
  <c r="P10" i="11"/>
  <c r="K10" i="11"/>
  <c r="BK9" i="11"/>
  <c r="BH9" i="11"/>
  <c r="J9" i="11" s="1"/>
  <c r="AS9" i="11"/>
  <c r="BF9" i="11" s="1"/>
  <c r="AR9" i="11"/>
  <c r="BD9" i="11" s="1"/>
  <c r="AE9" i="11"/>
  <c r="AB9" i="11"/>
  <c r="Y9" i="11"/>
  <c r="V9" i="11"/>
  <c r="S9" i="11"/>
  <c r="P9" i="11"/>
  <c r="K9" i="11"/>
  <c r="BK8" i="11"/>
  <c r="BH8" i="11"/>
  <c r="BI8" i="11" s="1"/>
  <c r="BG8" i="11"/>
  <c r="AS8" i="11"/>
  <c r="BF8" i="11" s="1"/>
  <c r="AR8" i="11"/>
  <c r="BD8" i="11" s="1"/>
  <c r="AE8" i="11"/>
  <c r="AB8" i="11"/>
  <c r="Y8" i="11"/>
  <c r="V8" i="11"/>
  <c r="S8" i="11"/>
  <c r="P8" i="11"/>
  <c r="K8" i="11"/>
  <c r="BR4" i="11"/>
  <c r="BQ4" i="11"/>
  <c r="BM23" i="11" s="1"/>
  <c r="BN4" i="11"/>
  <c r="AC39" i="11" s="1"/>
  <c r="D34" i="11" s="1"/>
  <c r="E34" i="11" s="1"/>
  <c r="BM4" i="11"/>
  <c r="L2" i="11"/>
  <c r="N47" i="11" s="1"/>
  <c r="AN37" i="8"/>
  <c r="AM37" i="8"/>
  <c r="AL37" i="8"/>
  <c r="AK37" i="8"/>
  <c r="AJ37" i="8"/>
  <c r="AI37" i="8"/>
  <c r="AH37" i="8"/>
  <c r="AG37" i="8"/>
  <c r="AF37" i="8"/>
  <c r="AE37" i="8"/>
  <c r="AD37" i="8"/>
  <c r="AC37" i="8"/>
  <c r="AB37" i="8"/>
  <c r="AA37" i="8"/>
  <c r="Z37" i="8"/>
  <c r="Y37" i="8"/>
  <c r="X37" i="8"/>
  <c r="W37" i="8"/>
  <c r="V37" i="8"/>
  <c r="U37" i="8"/>
  <c r="T37" i="8"/>
  <c r="S37" i="8"/>
  <c r="R37" i="8"/>
  <c r="AB21" i="8" s="1"/>
  <c r="E36" i="8"/>
  <c r="E35" i="8"/>
  <c r="E32" i="8"/>
  <c r="E31" i="8"/>
  <c r="E30" i="8"/>
  <c r="D29" i="8"/>
  <c r="E29" i="8" s="1"/>
  <c r="E28" i="8"/>
  <c r="J25" i="8"/>
  <c r="I25" i="8"/>
  <c r="H25" i="8"/>
  <c r="G25" i="8"/>
  <c r="F25" i="8"/>
  <c r="E25" i="8"/>
  <c r="J24" i="8"/>
  <c r="I24" i="8"/>
  <c r="H24" i="8"/>
  <c r="G24" i="8"/>
  <c r="F24" i="8"/>
  <c r="E24" i="8"/>
  <c r="T23" i="8"/>
  <c r="J23" i="8" s="1"/>
  <c r="S23" i="8"/>
  <c r="AA23" i="8" s="1"/>
  <c r="R23" i="8"/>
  <c r="Z23" i="8" s="1"/>
  <c r="K23" i="8"/>
  <c r="T22" i="8"/>
  <c r="J22" i="8" s="1"/>
  <c r="S22" i="8"/>
  <c r="AA22" i="8" s="1"/>
  <c r="R22" i="8"/>
  <c r="Z22" i="8" s="1"/>
  <c r="K22" i="8"/>
  <c r="T21" i="8"/>
  <c r="J21" i="8" s="1"/>
  <c r="S21" i="8"/>
  <c r="AA21" i="8" s="1"/>
  <c r="R21" i="8"/>
  <c r="Z21" i="8" s="1"/>
  <c r="K21" i="8"/>
  <c r="T20" i="8"/>
  <c r="J20" i="8" s="1"/>
  <c r="S20" i="8"/>
  <c r="AA20" i="8" s="1"/>
  <c r="R20" i="8"/>
  <c r="Z20" i="8" s="1"/>
  <c r="K20" i="8"/>
  <c r="T19" i="8"/>
  <c r="J19" i="8" s="1"/>
  <c r="S19" i="8"/>
  <c r="AA19" i="8" s="1"/>
  <c r="R19" i="8"/>
  <c r="Z19" i="8" s="1"/>
  <c r="K19" i="8"/>
  <c r="T18" i="8"/>
  <c r="J18" i="8" s="1"/>
  <c r="S18" i="8"/>
  <c r="AA18" i="8" s="1"/>
  <c r="R18" i="8"/>
  <c r="Z18" i="8" s="1"/>
  <c r="K18" i="8"/>
  <c r="T17" i="8"/>
  <c r="J17" i="8" s="1"/>
  <c r="S17" i="8"/>
  <c r="AA17" i="8" s="1"/>
  <c r="R17" i="8"/>
  <c r="Z17" i="8" s="1"/>
  <c r="K17" i="8"/>
  <c r="T16" i="8"/>
  <c r="J16" i="8" s="1"/>
  <c r="S16" i="8"/>
  <c r="AA16" i="8" s="1"/>
  <c r="R16" i="8"/>
  <c r="Z16" i="8" s="1"/>
  <c r="K16" i="8"/>
  <c r="T15" i="8"/>
  <c r="J15" i="8" s="1"/>
  <c r="S15" i="8"/>
  <c r="AA15" i="8" s="1"/>
  <c r="R15" i="8"/>
  <c r="Z15" i="8" s="1"/>
  <c r="K15" i="8"/>
  <c r="T14" i="8"/>
  <c r="J14" i="8" s="1"/>
  <c r="S14" i="8"/>
  <c r="R14" i="8"/>
  <c r="K14" i="8"/>
  <c r="T13" i="8"/>
  <c r="J13" i="8" s="1"/>
  <c r="S13" i="8"/>
  <c r="AA13" i="8" s="1"/>
  <c r="R13" i="8"/>
  <c r="K13" i="8"/>
  <c r="T12" i="8"/>
  <c r="J12" i="8" s="1"/>
  <c r="S12" i="8"/>
  <c r="R12" i="8"/>
  <c r="K12" i="8"/>
  <c r="T11" i="8"/>
  <c r="J11" i="8" s="1"/>
  <c r="S11" i="8"/>
  <c r="AA11" i="8" s="1"/>
  <c r="R11" i="8"/>
  <c r="Z11" i="8" s="1"/>
  <c r="AD11" i="8" s="1"/>
  <c r="K11" i="8"/>
  <c r="T10" i="8"/>
  <c r="J10" i="8" s="1"/>
  <c r="S10" i="8"/>
  <c r="R10" i="8"/>
  <c r="K10" i="8"/>
  <c r="T9" i="8"/>
  <c r="J9" i="8" s="1"/>
  <c r="S9" i="8"/>
  <c r="R9" i="8"/>
  <c r="K9" i="8"/>
  <c r="T8" i="8"/>
  <c r="J8" i="8" s="1"/>
  <c r="S8" i="8"/>
  <c r="R8" i="8"/>
  <c r="K8" i="8"/>
  <c r="AH10" i="8"/>
  <c r="AH9" i="8"/>
  <c r="AJ24" i="8" s="1"/>
  <c r="AH7" i="8"/>
  <c r="L4" i="8" l="1"/>
  <c r="BB22" i="11"/>
  <c r="AW22" i="11" s="1"/>
  <c r="BG16" i="11"/>
  <c r="BG18" i="11"/>
  <c r="BG9" i="11"/>
  <c r="BG22" i="11"/>
  <c r="BG11" i="11"/>
  <c r="BB13" i="11"/>
  <c r="AX13" i="11" s="1"/>
  <c r="BG21" i="11"/>
  <c r="BG13" i="11"/>
  <c r="BG15" i="11"/>
  <c r="BG17" i="11"/>
  <c r="BG19" i="11"/>
  <c r="BG23" i="11"/>
  <c r="BG14" i="11"/>
  <c r="AX17" i="11"/>
  <c r="AY17" i="11"/>
  <c r="AV17" i="11"/>
  <c r="AT17" i="11"/>
  <c r="BB21" i="11"/>
  <c r="AY21" i="11" s="1"/>
  <c r="BB9" i="11"/>
  <c r="AX9" i="11" s="1"/>
  <c r="BB15" i="11"/>
  <c r="AX15" i="11" s="1"/>
  <c r="BB12" i="11"/>
  <c r="AX12" i="11" s="1"/>
  <c r="BB19" i="11"/>
  <c r="AX19" i="11" s="1"/>
  <c r="BB18" i="11"/>
  <c r="AY18" i="11" s="1"/>
  <c r="BB8" i="11"/>
  <c r="BB14" i="11"/>
  <c r="AX14" i="11" s="1"/>
  <c r="BB20" i="11"/>
  <c r="BB23" i="11"/>
  <c r="AY23" i="11" s="1"/>
  <c r="BB11" i="11"/>
  <c r="AV11" i="11" s="1"/>
  <c r="AU22" i="11"/>
  <c r="AU10" i="11"/>
  <c r="BB16" i="11"/>
  <c r="AY16" i="11" s="1"/>
  <c r="AX22" i="11"/>
  <c r="AB12" i="8"/>
  <c r="AY10" i="11"/>
  <c r="AU15" i="11"/>
  <c r="AW19" i="11"/>
  <c r="AB16" i="8"/>
  <c r="AU9" i="11"/>
  <c r="AY11" i="11"/>
  <c r="AW15" i="11"/>
  <c r="AU17" i="11"/>
  <c r="AV21" i="11"/>
  <c r="AB18" i="8"/>
  <c r="AB8" i="8"/>
  <c r="AA10" i="8"/>
  <c r="Z12" i="8"/>
  <c r="Z14" i="8"/>
  <c r="AA14" i="8"/>
  <c r="AB20" i="8"/>
  <c r="AB22" i="8"/>
  <c r="AA8" i="8"/>
  <c r="AA12" i="8"/>
  <c r="AD12" i="8" s="1"/>
  <c r="Z13" i="8"/>
  <c r="AA9" i="8"/>
  <c r="Z8" i="8"/>
  <c r="AB11" i="8"/>
  <c r="AB15" i="8"/>
  <c r="AB19" i="8"/>
  <c r="AB23" i="8"/>
  <c r="AB10" i="8"/>
  <c r="AB14" i="8"/>
  <c r="AB9" i="8"/>
  <c r="AB13" i="8"/>
  <c r="AB17" i="8"/>
  <c r="Z9" i="8"/>
  <c r="Z10" i="8"/>
  <c r="AD10" i="8" s="1"/>
  <c r="AY8" i="11"/>
  <c r="AV9" i="11"/>
  <c r="AT15" i="11"/>
  <c r="AY15" i="11"/>
  <c r="AW21" i="11"/>
  <c r="AT22" i="11"/>
  <c r="AY22" i="11"/>
  <c r="BQ26" i="11"/>
  <c r="AW9" i="11"/>
  <c r="AT21" i="11"/>
  <c r="AT9" i="11"/>
  <c r="AY9" i="11"/>
  <c r="AW11" i="11"/>
  <c r="AY14" i="11"/>
  <c r="AV15" i="11"/>
  <c r="AW17" i="11"/>
  <c r="AV22" i="11"/>
  <c r="C36" i="8"/>
  <c r="D33" i="8"/>
  <c r="E33" i="8" s="1"/>
  <c r="D34" i="8"/>
  <c r="E34" i="8" s="1"/>
  <c r="J21" i="11"/>
  <c r="BI15" i="11"/>
  <c r="BI11" i="11"/>
  <c r="BI20" i="11"/>
  <c r="BI17" i="11"/>
  <c r="BI19" i="11"/>
  <c r="BI9" i="11"/>
  <c r="BI13" i="11"/>
  <c r="BM8" i="11"/>
  <c r="BO8" i="11" s="1"/>
  <c r="BV4" i="11"/>
  <c r="BV19" i="11" s="1"/>
  <c r="BW19" i="11" s="1"/>
  <c r="E2" i="11"/>
  <c r="AN15" i="11"/>
  <c r="F15" i="11" s="1"/>
  <c r="AO13" i="11"/>
  <c r="G13" i="11" s="1"/>
  <c r="BJ23" i="11"/>
  <c r="L23" i="11" s="1"/>
  <c r="AN11" i="11"/>
  <c r="F11" i="11" s="1"/>
  <c r="AQ14" i="11"/>
  <c r="I14" i="11" s="1"/>
  <c r="BJ21" i="11"/>
  <c r="L21" i="11" s="1"/>
  <c r="AN17" i="11"/>
  <c r="F17" i="11" s="1"/>
  <c r="AO9" i="11"/>
  <c r="G9" i="11" s="1"/>
  <c r="AN13" i="11"/>
  <c r="F13" i="11" s="1"/>
  <c r="AQ21" i="11"/>
  <c r="I21" i="11" s="1"/>
  <c r="AO15" i="11"/>
  <c r="G15" i="11" s="1"/>
  <c r="AO19" i="11"/>
  <c r="G19" i="11" s="1"/>
  <c r="AQ16" i="11"/>
  <c r="I16" i="11" s="1"/>
  <c r="AQ23" i="11"/>
  <c r="I23" i="11" s="1"/>
  <c r="O47" i="11"/>
  <c r="AO8" i="11"/>
  <c r="G8" i="11" s="1"/>
  <c r="AO22" i="11"/>
  <c r="G22" i="11" s="1"/>
  <c r="BJ8" i="11"/>
  <c r="L8" i="11" s="1"/>
  <c r="BJ22" i="11"/>
  <c r="L22" i="11" s="1"/>
  <c r="AQ8" i="11"/>
  <c r="I8" i="11" s="1"/>
  <c r="AO11" i="11"/>
  <c r="G11" i="11" s="1"/>
  <c r="AO17" i="11"/>
  <c r="G17" i="11" s="1"/>
  <c r="AO21" i="11"/>
  <c r="G21" i="11" s="1"/>
  <c r="AQ22" i="11"/>
  <c r="I22" i="11" s="1"/>
  <c r="AO10" i="11"/>
  <c r="G10" i="11" s="1"/>
  <c r="BJ20" i="11"/>
  <c r="L20" i="11" s="1"/>
  <c r="BJ10" i="11"/>
  <c r="L10" i="11" s="1"/>
  <c r="AO12" i="11"/>
  <c r="G12" i="11" s="1"/>
  <c r="AO18" i="11"/>
  <c r="G18" i="11" s="1"/>
  <c r="AQ10" i="11"/>
  <c r="I10" i="11" s="1"/>
  <c r="BJ12" i="11"/>
  <c r="L12" i="11" s="1"/>
  <c r="AO14" i="11"/>
  <c r="G14" i="11" s="1"/>
  <c r="AO16" i="11"/>
  <c r="G16" i="11" s="1"/>
  <c r="AQ18" i="11"/>
  <c r="I18" i="11" s="1"/>
  <c r="AQ20" i="11"/>
  <c r="I20" i="11" s="1"/>
  <c r="AM22" i="11"/>
  <c r="E22" i="11" s="1"/>
  <c r="AQ12" i="11"/>
  <c r="I12" i="11" s="1"/>
  <c r="BJ14" i="11"/>
  <c r="L14" i="11" s="1"/>
  <c r="BJ16" i="11"/>
  <c r="L16" i="11" s="1"/>
  <c r="AN19" i="11"/>
  <c r="F19" i="11" s="1"/>
  <c r="AN22" i="11"/>
  <c r="F22" i="11" s="1"/>
  <c r="W39" i="11"/>
  <c r="Y39" i="11" s="1"/>
  <c r="J31" i="11" s="1"/>
  <c r="BO23" i="11"/>
  <c r="BN23" i="11"/>
  <c r="AN9" i="11"/>
  <c r="F9" i="11" s="1"/>
  <c r="AM9" i="11"/>
  <c r="E9" i="11" s="1"/>
  <c r="AQ9" i="11"/>
  <c r="I9" i="11" s="1"/>
  <c r="BJ9" i="11"/>
  <c r="L9" i="11" s="1"/>
  <c r="AP9" i="11"/>
  <c r="H9" i="11" s="1"/>
  <c r="BM25" i="11"/>
  <c r="BN25" i="11" s="1"/>
  <c r="J8" i="11"/>
  <c r="AT8" i="11"/>
  <c r="J10" i="11"/>
  <c r="AT10" i="11"/>
  <c r="AP11" i="11"/>
  <c r="H11" i="11" s="1"/>
  <c r="BJ11" i="11"/>
  <c r="L11" i="11" s="1"/>
  <c r="J12" i="11"/>
  <c r="AP13" i="11"/>
  <c r="H13" i="11" s="1"/>
  <c r="BJ13" i="11"/>
  <c r="L13" i="11" s="1"/>
  <c r="J14" i="11"/>
  <c r="AT14" i="11"/>
  <c r="AP15" i="11"/>
  <c r="H15" i="11" s="1"/>
  <c r="BJ15" i="11"/>
  <c r="L15" i="11" s="1"/>
  <c r="J16" i="11"/>
  <c r="AP17" i="11"/>
  <c r="H17" i="11" s="1"/>
  <c r="BJ17" i="11"/>
  <c r="L17" i="11" s="1"/>
  <c r="J18" i="11"/>
  <c r="AT18" i="11"/>
  <c r="AP19" i="11"/>
  <c r="H19" i="11" s="1"/>
  <c r="BJ19" i="11"/>
  <c r="L19" i="11" s="1"/>
  <c r="AM20" i="11"/>
  <c r="E20" i="11" s="1"/>
  <c r="BM21" i="11"/>
  <c r="BI22" i="11"/>
  <c r="J23" i="11"/>
  <c r="AT23" i="11"/>
  <c r="P47" i="11"/>
  <c r="AM8" i="11"/>
  <c r="E8" i="11" s="1"/>
  <c r="AM10" i="11"/>
  <c r="E10" i="11" s="1"/>
  <c r="AQ11" i="11"/>
  <c r="I11" i="11" s="1"/>
  <c r="AM12" i="11"/>
  <c r="E12" i="11" s="1"/>
  <c r="AQ13" i="11"/>
  <c r="I13" i="11" s="1"/>
  <c r="BV13" i="11"/>
  <c r="BW13" i="11" s="1"/>
  <c r="AM14" i="11"/>
  <c r="E14" i="11" s="1"/>
  <c r="AU14" i="11"/>
  <c r="AQ15" i="11"/>
  <c r="I15" i="11" s="1"/>
  <c r="AM16" i="11"/>
  <c r="E16" i="11" s="1"/>
  <c r="AQ17" i="11"/>
  <c r="I17" i="11" s="1"/>
  <c r="BV17" i="11"/>
  <c r="BW17" i="11" s="1"/>
  <c r="AM18" i="11"/>
  <c r="E18" i="11" s="1"/>
  <c r="AU18" i="11"/>
  <c r="AQ19" i="11"/>
  <c r="I19" i="11" s="1"/>
  <c r="AN20" i="11"/>
  <c r="F20" i="11" s="1"/>
  <c r="AP22" i="11"/>
  <c r="H22" i="11" s="1"/>
  <c r="AM23" i="11"/>
  <c r="E23" i="11" s="1"/>
  <c r="AU23" i="11"/>
  <c r="BV9" i="11"/>
  <c r="BW9" i="11" s="1"/>
  <c r="AN8" i="11"/>
  <c r="F8" i="11" s="1"/>
  <c r="AV8" i="11"/>
  <c r="BM9" i="11"/>
  <c r="AN10" i="11"/>
  <c r="F10" i="11" s="1"/>
  <c r="AV10" i="11"/>
  <c r="BM11" i="11"/>
  <c r="AN12" i="11"/>
  <c r="F12" i="11" s="1"/>
  <c r="BM13" i="11"/>
  <c r="AN14" i="11"/>
  <c r="F14" i="11" s="1"/>
  <c r="AV14" i="11"/>
  <c r="BM15" i="11"/>
  <c r="AN16" i="11"/>
  <c r="F16" i="11" s="1"/>
  <c r="BM17" i="11"/>
  <c r="AN18" i="11"/>
  <c r="F18" i="11" s="1"/>
  <c r="AV18" i="11"/>
  <c r="BM19" i="11"/>
  <c r="AO20" i="11"/>
  <c r="G20" i="11" s="1"/>
  <c r="AN23" i="11"/>
  <c r="F23" i="11" s="1"/>
  <c r="AV23" i="11"/>
  <c r="BV25" i="11"/>
  <c r="BW25" i="11" s="1"/>
  <c r="AW8" i="11"/>
  <c r="AW10" i="11"/>
  <c r="AW14" i="11"/>
  <c r="AW16" i="11"/>
  <c r="AW18" i="11"/>
  <c r="AP20" i="11"/>
  <c r="H20" i="11" s="1"/>
  <c r="BV20" i="11"/>
  <c r="BW20" i="11" s="1"/>
  <c r="AM21" i="11"/>
  <c r="E21" i="11" s="1"/>
  <c r="BM22" i="11"/>
  <c r="AO23" i="11"/>
  <c r="G23" i="11" s="1"/>
  <c r="AW23" i="11"/>
  <c r="AA39" i="11"/>
  <c r="C37" i="11" s="1"/>
  <c r="AP8" i="11"/>
  <c r="H8" i="11" s="1"/>
  <c r="AP10" i="11"/>
  <c r="H10" i="11" s="1"/>
  <c r="AP12" i="11"/>
  <c r="H12" i="11" s="1"/>
  <c r="AP14" i="11"/>
  <c r="H14" i="11" s="1"/>
  <c r="AP16" i="11"/>
  <c r="H16" i="11" s="1"/>
  <c r="AX16" i="11"/>
  <c r="AP18" i="11"/>
  <c r="H18" i="11" s="1"/>
  <c r="AX18" i="11"/>
  <c r="BJ18" i="11"/>
  <c r="L18" i="11" s="1"/>
  <c r="AN21" i="11"/>
  <c r="F21" i="11" s="1"/>
  <c r="AP23" i="11"/>
  <c r="H23" i="11" s="1"/>
  <c r="AX23" i="11"/>
  <c r="BM24" i="11"/>
  <c r="BN24" i="11" s="1"/>
  <c r="Y38" i="11"/>
  <c r="J32" i="11" s="1"/>
  <c r="AB39" i="11"/>
  <c r="D35" i="11" s="1"/>
  <c r="E35" i="11" s="1"/>
  <c r="AM11" i="11"/>
  <c r="E11" i="11" s="1"/>
  <c r="BV12" i="11"/>
  <c r="BW12" i="11" s="1"/>
  <c r="AM13" i="11"/>
  <c r="E13" i="11" s="1"/>
  <c r="BV14" i="11"/>
  <c r="BW14" i="11" s="1"/>
  <c r="AM15" i="11"/>
  <c r="E15" i="11" s="1"/>
  <c r="AM17" i="11"/>
  <c r="E17" i="11" s="1"/>
  <c r="AM19" i="11"/>
  <c r="E19" i="11" s="1"/>
  <c r="BM20" i="11"/>
  <c r="AA38" i="11"/>
  <c r="D38" i="11" s="1"/>
  <c r="E38" i="11" s="1"/>
  <c r="BM10" i="11"/>
  <c r="BM12" i="11"/>
  <c r="BM14" i="11"/>
  <c r="BM16" i="11"/>
  <c r="BM18" i="11"/>
  <c r="AP21" i="11"/>
  <c r="H21" i="11" s="1"/>
  <c r="AL24" i="8"/>
  <c r="AK24" i="8"/>
  <c r="AJ22" i="8"/>
  <c r="AJ10" i="8"/>
  <c r="AJ12" i="8"/>
  <c r="AJ14" i="8"/>
  <c r="AJ16" i="8"/>
  <c r="AJ18" i="8"/>
  <c r="AJ20" i="8"/>
  <c r="AJ23" i="8"/>
  <c r="AJ21" i="8"/>
  <c r="AJ9" i="8"/>
  <c r="AJ11" i="8"/>
  <c r="AJ13" i="8"/>
  <c r="AJ15" i="8"/>
  <c r="AJ17" i="8"/>
  <c r="AJ19" i="8"/>
  <c r="BV23" i="11" l="1"/>
  <c r="BW23" i="11" s="1"/>
  <c r="BV24" i="11"/>
  <c r="BW24" i="11" s="1"/>
  <c r="AV13" i="11"/>
  <c r="AY19" i="11"/>
  <c r="AU16" i="11"/>
  <c r="AT16" i="11"/>
  <c r="AU13" i="11"/>
  <c r="AV16" i="11"/>
  <c r="AU21" i="11"/>
  <c r="AX21" i="11"/>
  <c r="AY13" i="11"/>
  <c r="AW13" i="11"/>
  <c r="AT13" i="11"/>
  <c r="AX11" i="11"/>
  <c r="AT11" i="11"/>
  <c r="AW12" i="11"/>
  <c r="AU12" i="11"/>
  <c r="AV12" i="11"/>
  <c r="AU20" i="11"/>
  <c r="AT20" i="11"/>
  <c r="AY20" i="11"/>
  <c r="AX20" i="11"/>
  <c r="AW20" i="11"/>
  <c r="AV20" i="11"/>
  <c r="AY12" i="11"/>
  <c r="AT12" i="11"/>
  <c r="AX8" i="11"/>
  <c r="AU8" i="11"/>
  <c r="AU11" i="11"/>
  <c r="AU19" i="11"/>
  <c r="AV19" i="11"/>
  <c r="AT19" i="11"/>
  <c r="AD8" i="8"/>
  <c r="AE8" i="8"/>
  <c r="BV22" i="11"/>
  <c r="BW22" i="11" s="1"/>
  <c r="BV11" i="11"/>
  <c r="BW11" i="11" s="1"/>
  <c r="BV15" i="11"/>
  <c r="BW15" i="11" s="1"/>
  <c r="BV18" i="11"/>
  <c r="BW18" i="11" s="1"/>
  <c r="BV10" i="11"/>
  <c r="BW10" i="11" s="1"/>
  <c r="BV16" i="11"/>
  <c r="BW16" i="11" s="1"/>
  <c r="AE9" i="8"/>
  <c r="AD9" i="8"/>
  <c r="E37" i="8"/>
  <c r="BN8" i="11"/>
  <c r="E39" i="11"/>
  <c r="E28" i="11" s="1"/>
  <c r="BV21" i="11"/>
  <c r="BW21" i="11" s="1"/>
  <c r="BV8" i="11"/>
  <c r="BW8" i="11" s="1"/>
  <c r="BW7" i="11" s="1"/>
  <c r="J30" i="11" s="1"/>
  <c r="X39" i="11"/>
  <c r="Q2" i="11" s="1"/>
  <c r="X38" i="11" s="1"/>
  <c r="BN18" i="11"/>
  <c r="BO18" i="11"/>
  <c r="BO15" i="11"/>
  <c r="BN15" i="11"/>
  <c r="BN14" i="11"/>
  <c r="BO14" i="11"/>
  <c r="BO9" i="11"/>
  <c r="BN9" i="11"/>
  <c r="BO21" i="11"/>
  <c r="BN21" i="11"/>
  <c r="BN16" i="11"/>
  <c r="BO16" i="11"/>
  <c r="BN12" i="11"/>
  <c r="BO12" i="11"/>
  <c r="BO19" i="11"/>
  <c r="BN19" i="11"/>
  <c r="BO11" i="11"/>
  <c r="BN11" i="11"/>
  <c r="BN10" i="11"/>
  <c r="BO10" i="11"/>
  <c r="BO22" i="11"/>
  <c r="BN22" i="11"/>
  <c r="BO13" i="11"/>
  <c r="BN13" i="11"/>
  <c r="BQ23" i="11"/>
  <c r="BP23" i="11"/>
  <c r="BR23" i="11" s="1"/>
  <c r="BN20" i="11"/>
  <c r="BO20" i="11"/>
  <c r="BO17" i="11"/>
  <c r="BN17" i="11"/>
  <c r="AL23" i="8"/>
  <c r="AK23" i="8"/>
  <c r="AL14" i="8"/>
  <c r="AK14" i="8"/>
  <c r="AL22" i="8"/>
  <c r="AK22" i="8"/>
  <c r="AK19" i="8"/>
  <c r="AL19" i="8"/>
  <c r="AK21" i="8"/>
  <c r="AL21" i="8"/>
  <c r="AL20" i="8"/>
  <c r="AK20" i="8"/>
  <c r="AL12" i="8"/>
  <c r="AK12" i="8"/>
  <c r="AK17" i="8"/>
  <c r="AL17" i="8"/>
  <c r="AK15" i="8"/>
  <c r="AL15" i="8"/>
  <c r="AL18" i="8"/>
  <c r="AK18" i="8"/>
  <c r="AL10" i="8"/>
  <c r="AK10" i="8"/>
  <c r="AN24" i="8"/>
  <c r="AM24" i="8"/>
  <c r="AL9" i="8"/>
  <c r="AK9" i="8"/>
  <c r="AL13" i="8"/>
  <c r="AK13" i="8"/>
  <c r="AL11" i="8"/>
  <c r="AK11" i="8"/>
  <c r="AL16" i="8"/>
  <c r="AK16" i="8"/>
  <c r="I5" i="7"/>
  <c r="AM9" i="8" l="1"/>
  <c r="AN9" i="8"/>
  <c r="E27" i="8"/>
  <c r="BQ8" i="11"/>
  <c r="BS8" i="11" s="1"/>
  <c r="BP8" i="11"/>
  <c r="BR8" i="11" s="1"/>
  <c r="BQ17" i="11"/>
  <c r="BS17" i="11" s="1"/>
  <c r="BP17" i="11"/>
  <c r="BR17" i="11" s="1"/>
  <c r="BQ19" i="11"/>
  <c r="BP19" i="11"/>
  <c r="BR19" i="11" s="1"/>
  <c r="BQ9" i="11"/>
  <c r="BP9" i="11"/>
  <c r="BR9" i="11" s="1"/>
  <c r="BQ18" i="11"/>
  <c r="BS18" i="11" s="1"/>
  <c r="BP18" i="11"/>
  <c r="BR18" i="11" s="1"/>
  <c r="BQ20" i="11"/>
  <c r="BP20" i="11"/>
  <c r="BR20" i="11" s="1"/>
  <c r="BQ10" i="11"/>
  <c r="BS10" i="11" s="1"/>
  <c r="BP10" i="11"/>
  <c r="BR10" i="11" s="1"/>
  <c r="BQ12" i="11"/>
  <c r="BS12" i="11" s="1"/>
  <c r="BP12" i="11"/>
  <c r="BR12" i="11" s="1"/>
  <c r="BQ11" i="11"/>
  <c r="BS11" i="11" s="1"/>
  <c r="BP11" i="11"/>
  <c r="BR11" i="11" s="1"/>
  <c r="BQ14" i="11"/>
  <c r="BS14" i="11" s="1"/>
  <c r="BP14" i="11"/>
  <c r="BR14" i="11" s="1"/>
  <c r="BP22" i="11"/>
  <c r="BR22" i="11" s="1"/>
  <c r="BQ22" i="11"/>
  <c r="BQ16" i="11"/>
  <c r="BS16" i="11" s="1"/>
  <c r="BP16" i="11"/>
  <c r="BR16" i="11" s="1"/>
  <c r="BQ15" i="11"/>
  <c r="BS15" i="11" s="1"/>
  <c r="BP15" i="11"/>
  <c r="BR15" i="11" s="1"/>
  <c r="BQ13" i="11"/>
  <c r="BS13" i="11" s="1"/>
  <c r="BP13" i="11"/>
  <c r="BR13" i="11" s="1"/>
  <c r="BQ21" i="11"/>
  <c r="BP21" i="11"/>
  <c r="BR21" i="11" s="1"/>
  <c r="AM13" i="8"/>
  <c r="AN13" i="8"/>
  <c r="AO13" i="8" s="1"/>
  <c r="AN10" i="8"/>
  <c r="AO10" i="8" s="1"/>
  <c r="AM10" i="8"/>
  <c r="AN12" i="8"/>
  <c r="AO12" i="8" s="1"/>
  <c r="AM12" i="8"/>
  <c r="AN22" i="8"/>
  <c r="AM22" i="8"/>
  <c r="AN19" i="8"/>
  <c r="AO19" i="8" s="1"/>
  <c r="AM19" i="8"/>
  <c r="AN17" i="8"/>
  <c r="AO17" i="8" s="1"/>
  <c r="AM17" i="8"/>
  <c r="AN18" i="8"/>
  <c r="AO18" i="8" s="1"/>
  <c r="AM18" i="8"/>
  <c r="AN20" i="8"/>
  <c r="AM20" i="8"/>
  <c r="AN14" i="8"/>
  <c r="AO14" i="8" s="1"/>
  <c r="AM14" i="8"/>
  <c r="AN16" i="8"/>
  <c r="AO16" i="8" s="1"/>
  <c r="AM16" i="8"/>
  <c r="AM23" i="8"/>
  <c r="AN23" i="8"/>
  <c r="AM11" i="8"/>
  <c r="AN11" i="8"/>
  <c r="AN15" i="8"/>
  <c r="AO15" i="8" s="1"/>
  <c r="AM15" i="8"/>
  <c r="AN21" i="8"/>
  <c r="AM21" i="8"/>
  <c r="AO11" i="8" l="1"/>
  <c r="AM8" i="8"/>
  <c r="L3" i="8" s="1"/>
  <c r="AN8" i="8"/>
  <c r="BR7" i="11"/>
  <c r="J29" i="11" s="1"/>
  <c r="BS9" i="11"/>
  <c r="BS7" i="11" s="1"/>
  <c r="J28" i="11" s="1"/>
  <c r="BQ7" i="11"/>
  <c r="AO9" i="8"/>
  <c r="AO8" i="8" l="1"/>
  <c r="L2" i="8" s="1"/>
  <c r="F7" i="7"/>
  <c r="C7" i="7"/>
  <c r="F6" i="7"/>
  <c r="D7" i="7"/>
  <c r="C6" i="7"/>
  <c r="D6" i="7"/>
  <c r="N125" i="30" l="1"/>
  <c r="M125" i="30"/>
  <c r="L125" i="30"/>
  <c r="K125" i="30"/>
  <c r="J125" i="30"/>
  <c r="I125" i="30"/>
  <c r="H125" i="30"/>
  <c r="G125" i="30"/>
  <c r="F125" i="30"/>
  <c r="E125" i="30"/>
  <c r="D125" i="30"/>
  <c r="N124" i="30"/>
  <c r="M124" i="30"/>
  <c r="L124" i="30"/>
  <c r="K124" i="30"/>
  <c r="J124" i="30"/>
  <c r="I124" i="30"/>
  <c r="H124" i="30"/>
  <c r="G124" i="30"/>
  <c r="F124" i="30"/>
  <c r="E124" i="30"/>
  <c r="D124" i="30"/>
  <c r="N123" i="30"/>
  <c r="M123" i="30"/>
  <c r="L123" i="30"/>
  <c r="K123" i="30"/>
  <c r="J123" i="30"/>
  <c r="I123" i="30"/>
  <c r="H123" i="30"/>
  <c r="G123" i="30"/>
  <c r="F123" i="30"/>
  <c r="E123" i="30"/>
  <c r="D123" i="30"/>
  <c r="N122" i="30"/>
  <c r="M122" i="30"/>
  <c r="L122" i="30"/>
  <c r="K122" i="30"/>
  <c r="J122" i="30"/>
  <c r="I122" i="30"/>
  <c r="H122" i="30"/>
  <c r="G122" i="30"/>
  <c r="F122" i="30"/>
  <c r="E122" i="30"/>
  <c r="D122" i="30"/>
  <c r="D120" i="30"/>
  <c r="D305" i="30"/>
  <c r="E305" i="30"/>
  <c r="F305" i="30"/>
  <c r="G305" i="30"/>
  <c r="H305" i="30"/>
  <c r="I305" i="30"/>
  <c r="J305" i="30"/>
  <c r="K305" i="30"/>
  <c r="L305" i="30"/>
  <c r="M305" i="30"/>
  <c r="N305" i="30"/>
  <c r="D306" i="30"/>
  <c r="E306" i="30"/>
  <c r="F306" i="30"/>
  <c r="G306" i="30"/>
  <c r="H306" i="30"/>
  <c r="I306" i="30"/>
  <c r="J306" i="30"/>
  <c r="K306" i="30"/>
  <c r="L306" i="30"/>
  <c r="M306" i="30"/>
  <c r="N306" i="30"/>
  <c r="D307" i="30"/>
  <c r="E307" i="30"/>
  <c r="F307" i="30"/>
  <c r="G307" i="30"/>
  <c r="H307" i="30"/>
  <c r="I307" i="30"/>
  <c r="J307" i="30"/>
  <c r="K307" i="30"/>
  <c r="L307" i="30"/>
  <c r="M307" i="30"/>
  <c r="N307" i="30"/>
  <c r="N304" i="30"/>
  <c r="M304" i="30"/>
  <c r="L304" i="30"/>
  <c r="K304" i="30"/>
  <c r="J304" i="30"/>
  <c r="I304" i="30"/>
  <c r="H304" i="30"/>
  <c r="G304" i="30"/>
  <c r="F304" i="30"/>
  <c r="E304" i="30"/>
  <c r="D304" i="30"/>
  <c r="D302" i="30"/>
  <c r="N126" i="30"/>
  <c r="J126" i="30"/>
  <c r="E126" i="30"/>
  <c r="N308" i="30"/>
  <c r="J308" i="30"/>
  <c r="E308" i="30"/>
  <c r="D298" i="30"/>
  <c r="E298" i="30"/>
  <c r="F298" i="30"/>
  <c r="G298" i="30"/>
  <c r="H298" i="30"/>
  <c r="I298" i="30"/>
  <c r="J298" i="30"/>
  <c r="K298" i="30"/>
  <c r="L298" i="30"/>
  <c r="M298" i="30"/>
  <c r="N298" i="30"/>
  <c r="N297" i="30"/>
  <c r="M297" i="30"/>
  <c r="L297" i="30"/>
  <c r="K297" i="30"/>
  <c r="J297" i="30"/>
  <c r="I297" i="30"/>
  <c r="H297" i="30"/>
  <c r="G297" i="30"/>
  <c r="F297" i="30"/>
  <c r="E297" i="30"/>
  <c r="D297" i="30"/>
  <c r="D295" i="30"/>
  <c r="N299" i="30"/>
  <c r="J299" i="30"/>
  <c r="E299" i="30"/>
  <c r="D289" i="30"/>
  <c r="E289" i="30"/>
  <c r="F289" i="30"/>
  <c r="G289" i="30"/>
  <c r="H289" i="30"/>
  <c r="I289" i="30"/>
  <c r="J289" i="30"/>
  <c r="K289" i="30"/>
  <c r="L289" i="30"/>
  <c r="M289" i="30"/>
  <c r="N289" i="30"/>
  <c r="D290" i="30"/>
  <c r="E290" i="30"/>
  <c r="F290" i="30"/>
  <c r="G290" i="30"/>
  <c r="H290" i="30"/>
  <c r="I290" i="30"/>
  <c r="J290" i="30"/>
  <c r="K290" i="30"/>
  <c r="L290" i="30"/>
  <c r="M290" i="30"/>
  <c r="N290" i="30"/>
  <c r="D291" i="30"/>
  <c r="E291" i="30"/>
  <c r="F291" i="30"/>
  <c r="G291" i="30"/>
  <c r="H291" i="30"/>
  <c r="I291" i="30"/>
  <c r="J291" i="30"/>
  <c r="K291" i="30"/>
  <c r="L291" i="30"/>
  <c r="M291" i="30"/>
  <c r="N291" i="30"/>
  <c r="N288" i="30"/>
  <c r="M288" i="30"/>
  <c r="L288" i="30"/>
  <c r="K288" i="30"/>
  <c r="J288" i="30"/>
  <c r="I288" i="30"/>
  <c r="H288" i="30"/>
  <c r="G288" i="30"/>
  <c r="F288" i="30"/>
  <c r="E288" i="30"/>
  <c r="D288" i="30"/>
  <c r="N292" i="30"/>
  <c r="J292" i="30"/>
  <c r="E292" i="30"/>
  <c r="D280" i="30"/>
  <c r="E280" i="30"/>
  <c r="F280" i="30"/>
  <c r="G280" i="30"/>
  <c r="H280" i="30"/>
  <c r="I280" i="30"/>
  <c r="J280" i="30"/>
  <c r="K280" i="30"/>
  <c r="L280" i="30"/>
  <c r="M280" i="30"/>
  <c r="N280" i="30"/>
  <c r="D281" i="30"/>
  <c r="E281" i="30"/>
  <c r="F281" i="30"/>
  <c r="G281" i="30"/>
  <c r="H281" i="30"/>
  <c r="I281" i="30"/>
  <c r="J281" i="30"/>
  <c r="K281" i="30"/>
  <c r="L281" i="30"/>
  <c r="M281" i="30"/>
  <c r="N281" i="30"/>
  <c r="D282" i="30"/>
  <c r="E282" i="30"/>
  <c r="F282" i="30"/>
  <c r="G282" i="30"/>
  <c r="H282" i="30"/>
  <c r="I282" i="30"/>
  <c r="J282" i="30"/>
  <c r="K282" i="30"/>
  <c r="L282" i="30"/>
  <c r="M282" i="30"/>
  <c r="N282" i="30"/>
  <c r="N279" i="30"/>
  <c r="M279" i="30"/>
  <c r="L279" i="30"/>
  <c r="K279" i="30"/>
  <c r="J279" i="30"/>
  <c r="I279" i="30"/>
  <c r="H279" i="30"/>
  <c r="G279" i="30"/>
  <c r="F279" i="30"/>
  <c r="E279" i="30"/>
  <c r="D279" i="30"/>
  <c r="D277" i="30"/>
  <c r="N283" i="30"/>
  <c r="J283" i="30"/>
  <c r="E283" i="30"/>
  <c r="D271" i="30"/>
  <c r="E271" i="30"/>
  <c r="F271" i="30"/>
  <c r="G271" i="30"/>
  <c r="H271" i="30"/>
  <c r="I271" i="30"/>
  <c r="J271" i="30"/>
  <c r="K271" i="30"/>
  <c r="L271" i="30"/>
  <c r="M271" i="30"/>
  <c r="N271" i="30"/>
  <c r="D272" i="30"/>
  <c r="E272" i="30"/>
  <c r="F272" i="30"/>
  <c r="G272" i="30"/>
  <c r="H272" i="30"/>
  <c r="I272" i="30"/>
  <c r="J272" i="30"/>
  <c r="K272" i="30"/>
  <c r="L272" i="30"/>
  <c r="M272" i="30"/>
  <c r="N272" i="30"/>
  <c r="D273" i="30"/>
  <c r="E273" i="30"/>
  <c r="F273" i="30"/>
  <c r="G273" i="30"/>
  <c r="H273" i="30"/>
  <c r="I273" i="30"/>
  <c r="J273" i="30"/>
  <c r="K273" i="30"/>
  <c r="L273" i="30"/>
  <c r="M273" i="30"/>
  <c r="N273" i="30"/>
  <c r="N270" i="30"/>
  <c r="M270" i="30"/>
  <c r="L270" i="30"/>
  <c r="K270" i="30"/>
  <c r="J270" i="30"/>
  <c r="I270" i="30"/>
  <c r="H270" i="30"/>
  <c r="G270" i="30"/>
  <c r="F270" i="30"/>
  <c r="E270" i="30"/>
  <c r="D270" i="30"/>
  <c r="D268" i="30"/>
  <c r="N274" i="30"/>
  <c r="J274" i="30"/>
  <c r="E274" i="30"/>
  <c r="D6" i="30"/>
  <c r="E6" i="30"/>
  <c r="F6" i="30"/>
  <c r="G6" i="30"/>
  <c r="H6" i="30"/>
  <c r="I6" i="30"/>
  <c r="J6" i="30"/>
  <c r="K6" i="30"/>
  <c r="L6" i="30"/>
  <c r="M6" i="30"/>
  <c r="N6" i="30"/>
  <c r="D7" i="30"/>
  <c r="E7" i="30"/>
  <c r="F7" i="30"/>
  <c r="G7" i="30"/>
  <c r="H7" i="30"/>
  <c r="I7" i="30"/>
  <c r="J7" i="30"/>
  <c r="K7" i="30"/>
  <c r="L7" i="30"/>
  <c r="M7" i="30"/>
  <c r="N7" i="30"/>
  <c r="D8" i="30"/>
  <c r="E8" i="30"/>
  <c r="F8" i="30"/>
  <c r="G8" i="30"/>
  <c r="H8" i="30"/>
  <c r="I8" i="30"/>
  <c r="J8" i="30"/>
  <c r="K8" i="30"/>
  <c r="L8" i="30"/>
  <c r="M8" i="30"/>
  <c r="N8" i="30"/>
  <c r="N5" i="30"/>
  <c r="M5" i="30"/>
  <c r="L5" i="30"/>
  <c r="K5" i="30"/>
  <c r="J5" i="30"/>
  <c r="I5" i="30"/>
  <c r="H5" i="30"/>
  <c r="G5" i="30"/>
  <c r="F5" i="30"/>
  <c r="E5" i="30"/>
  <c r="D5" i="30"/>
  <c r="D3" i="30"/>
  <c r="N9" i="30"/>
  <c r="J9" i="30"/>
  <c r="E9" i="30"/>
  <c r="D252" i="30"/>
  <c r="E252" i="30"/>
  <c r="F252" i="30"/>
  <c r="G252" i="30"/>
  <c r="H252" i="30"/>
  <c r="I252" i="30"/>
  <c r="J252" i="30"/>
  <c r="K252" i="30"/>
  <c r="L252" i="30"/>
  <c r="M252" i="30"/>
  <c r="N252" i="30"/>
  <c r="D253" i="30"/>
  <c r="E253" i="30"/>
  <c r="F253" i="30"/>
  <c r="G253" i="30"/>
  <c r="H253" i="30"/>
  <c r="I253" i="30"/>
  <c r="J253" i="30"/>
  <c r="K253" i="30"/>
  <c r="L253" i="30"/>
  <c r="M253" i="30"/>
  <c r="N253" i="30"/>
  <c r="D254" i="30"/>
  <c r="E254" i="30"/>
  <c r="F254" i="30"/>
  <c r="G254" i="30"/>
  <c r="H254" i="30"/>
  <c r="I254" i="30"/>
  <c r="J254" i="30"/>
  <c r="K254" i="30"/>
  <c r="L254" i="30"/>
  <c r="M254" i="30"/>
  <c r="N254" i="30"/>
  <c r="D255" i="30"/>
  <c r="E255" i="30"/>
  <c r="F255" i="30"/>
  <c r="G255" i="30"/>
  <c r="H255" i="30"/>
  <c r="I255" i="30"/>
  <c r="J255" i="30"/>
  <c r="K255" i="30"/>
  <c r="L255" i="30"/>
  <c r="M255" i="30"/>
  <c r="N255" i="30"/>
  <c r="N251" i="30"/>
  <c r="M251" i="30"/>
  <c r="L251" i="30"/>
  <c r="K251" i="30"/>
  <c r="J251" i="30"/>
  <c r="I251" i="30"/>
  <c r="H251" i="30"/>
  <c r="G251" i="30"/>
  <c r="F251" i="30"/>
  <c r="E251" i="30"/>
  <c r="D251" i="30"/>
  <c r="D249" i="30"/>
  <c r="N256" i="30"/>
  <c r="J256" i="30"/>
  <c r="E256" i="30"/>
  <c r="D238" i="30"/>
  <c r="E238" i="30"/>
  <c r="F238" i="30"/>
  <c r="G238" i="30"/>
  <c r="H238" i="30"/>
  <c r="I238" i="30"/>
  <c r="J238" i="30"/>
  <c r="K238" i="30"/>
  <c r="L238" i="30"/>
  <c r="M238" i="30"/>
  <c r="N238" i="30"/>
  <c r="D239" i="30"/>
  <c r="E239" i="30"/>
  <c r="F239" i="30"/>
  <c r="G239" i="30"/>
  <c r="H239" i="30"/>
  <c r="I239" i="30"/>
  <c r="J239" i="30"/>
  <c r="K239" i="30"/>
  <c r="L239" i="30"/>
  <c r="M239" i="30"/>
  <c r="N239" i="30"/>
  <c r="D240" i="30"/>
  <c r="E240" i="30"/>
  <c r="F240" i="30"/>
  <c r="G240" i="30"/>
  <c r="H240" i="30"/>
  <c r="I240" i="30"/>
  <c r="J240" i="30"/>
  <c r="K240" i="30"/>
  <c r="L240" i="30"/>
  <c r="M240" i="30"/>
  <c r="N240" i="30"/>
  <c r="D241" i="30"/>
  <c r="E241" i="30"/>
  <c r="F241" i="30"/>
  <c r="G241" i="30"/>
  <c r="H241" i="30"/>
  <c r="I241" i="30"/>
  <c r="J241" i="30"/>
  <c r="K241" i="30"/>
  <c r="L241" i="30"/>
  <c r="M241" i="30"/>
  <c r="N241" i="30"/>
  <c r="D242" i="30"/>
  <c r="E242" i="30"/>
  <c r="F242" i="30"/>
  <c r="G242" i="30"/>
  <c r="H242" i="30"/>
  <c r="I242" i="30"/>
  <c r="J242" i="30"/>
  <c r="K242" i="30"/>
  <c r="L242" i="30"/>
  <c r="M242" i="30"/>
  <c r="N242" i="30"/>
  <c r="D243" i="30"/>
  <c r="E243" i="30"/>
  <c r="F243" i="30"/>
  <c r="G243" i="30"/>
  <c r="H243" i="30"/>
  <c r="I243" i="30"/>
  <c r="J243" i="30"/>
  <c r="K243" i="30"/>
  <c r="L243" i="30"/>
  <c r="M243" i="30"/>
  <c r="N243" i="30"/>
  <c r="D244" i="30"/>
  <c r="E244" i="30"/>
  <c r="F244" i="30"/>
  <c r="G244" i="30"/>
  <c r="H244" i="30"/>
  <c r="I244" i="30"/>
  <c r="J244" i="30"/>
  <c r="K244" i="30"/>
  <c r="L244" i="30"/>
  <c r="M244" i="30"/>
  <c r="N244" i="30"/>
  <c r="N237" i="30"/>
  <c r="M237" i="30"/>
  <c r="L237" i="30"/>
  <c r="K237" i="30"/>
  <c r="J237" i="30"/>
  <c r="I237" i="30"/>
  <c r="H237" i="30"/>
  <c r="G237" i="30"/>
  <c r="F237" i="30"/>
  <c r="E237" i="30"/>
  <c r="D237" i="30"/>
  <c r="D235" i="30"/>
  <c r="N245" i="30"/>
  <c r="J245" i="30"/>
  <c r="E245" i="30"/>
  <c r="N227" i="30"/>
  <c r="N228" i="30"/>
  <c r="N229" i="30"/>
  <c r="N230" i="30"/>
  <c r="N231" i="30"/>
  <c r="N226" i="30"/>
  <c r="N217" i="30"/>
  <c r="N218" i="30"/>
  <c r="N219" i="30"/>
  <c r="N220" i="30"/>
  <c r="N216" i="30"/>
  <c r="N207" i="30"/>
  <c r="N208" i="30"/>
  <c r="N209" i="30"/>
  <c r="N210" i="30"/>
  <c r="N206" i="30"/>
  <c r="N196" i="30"/>
  <c r="N197" i="30"/>
  <c r="N198" i="30"/>
  <c r="N199" i="30"/>
  <c r="N200" i="30"/>
  <c r="N195" i="30"/>
  <c r="N179" i="30"/>
  <c r="N180" i="30"/>
  <c r="N181" i="30"/>
  <c r="N182" i="30"/>
  <c r="N183" i="30"/>
  <c r="N184" i="30"/>
  <c r="N185" i="30"/>
  <c r="N186" i="30"/>
  <c r="N187" i="30"/>
  <c r="N188" i="30"/>
  <c r="N178" i="30"/>
  <c r="N171" i="30"/>
  <c r="N172" i="30"/>
  <c r="N170" i="30"/>
  <c r="N162" i="30"/>
  <c r="N163" i="30"/>
  <c r="N164" i="30"/>
  <c r="N161" i="30"/>
  <c r="N141" i="30"/>
  <c r="N142" i="30"/>
  <c r="N143" i="30"/>
  <c r="N144" i="30"/>
  <c r="N140" i="30"/>
  <c r="N132" i="30"/>
  <c r="N133" i="30"/>
  <c r="N134" i="30"/>
  <c r="N131" i="30"/>
  <c r="N113" i="30"/>
  <c r="N114" i="30"/>
  <c r="N115" i="30"/>
  <c r="N116" i="30"/>
  <c r="N112" i="30"/>
  <c r="N102" i="30"/>
  <c r="N103" i="30"/>
  <c r="N104" i="30"/>
  <c r="N105" i="30"/>
  <c r="N106" i="30"/>
  <c r="N101" i="30"/>
  <c r="N93" i="30"/>
  <c r="N94" i="30"/>
  <c r="N95" i="30"/>
  <c r="N92" i="30"/>
  <c r="N80" i="30"/>
  <c r="N81" i="30"/>
  <c r="N82" i="30"/>
  <c r="N83" i="30"/>
  <c r="N84" i="30"/>
  <c r="N85" i="30"/>
  <c r="N86" i="30"/>
  <c r="N79" i="30"/>
  <c r="N71" i="30"/>
  <c r="N72" i="30"/>
  <c r="N73" i="30"/>
  <c r="N70" i="30"/>
  <c r="N61" i="30"/>
  <c r="N62" i="30"/>
  <c r="N63" i="30"/>
  <c r="N64" i="30"/>
  <c r="N60" i="30"/>
  <c r="N51" i="30"/>
  <c r="N52" i="30"/>
  <c r="N53" i="30"/>
  <c r="N54" i="30"/>
  <c r="N50" i="30"/>
  <c r="N35" i="30"/>
  <c r="N36" i="30"/>
  <c r="N37" i="30"/>
  <c r="N38" i="30"/>
  <c r="N39" i="30"/>
  <c r="N40" i="30"/>
  <c r="N41" i="30"/>
  <c r="N42" i="30"/>
  <c r="N43" i="30"/>
  <c r="N34" i="30"/>
  <c r="N24" i="30"/>
  <c r="N25" i="30"/>
  <c r="N26" i="30"/>
  <c r="N27" i="30"/>
  <c r="N23" i="30"/>
  <c r="N15" i="30"/>
  <c r="N16" i="30"/>
  <c r="N14" i="30"/>
  <c r="D227" i="30"/>
  <c r="E227" i="30"/>
  <c r="F227" i="30"/>
  <c r="G227" i="30"/>
  <c r="H227" i="30"/>
  <c r="I227" i="30"/>
  <c r="J227" i="30"/>
  <c r="K227" i="30"/>
  <c r="L227" i="30"/>
  <c r="M227" i="30"/>
  <c r="D228" i="30"/>
  <c r="E228" i="30"/>
  <c r="F228" i="30"/>
  <c r="G228" i="30"/>
  <c r="H228" i="30"/>
  <c r="I228" i="30"/>
  <c r="J228" i="30"/>
  <c r="K228" i="30"/>
  <c r="L228" i="30"/>
  <c r="M228" i="30"/>
  <c r="D229" i="30"/>
  <c r="E229" i="30"/>
  <c r="F229" i="30"/>
  <c r="G229" i="30"/>
  <c r="H229" i="30"/>
  <c r="I229" i="30"/>
  <c r="J229" i="30"/>
  <c r="K229" i="30"/>
  <c r="L229" i="30"/>
  <c r="M229" i="30"/>
  <c r="D230" i="30"/>
  <c r="E230" i="30"/>
  <c r="F230" i="30"/>
  <c r="G230" i="30"/>
  <c r="H230" i="30"/>
  <c r="I230" i="30"/>
  <c r="J230" i="30"/>
  <c r="K230" i="30"/>
  <c r="L230" i="30"/>
  <c r="M230" i="30"/>
  <c r="D231" i="30"/>
  <c r="E231" i="30"/>
  <c r="F231" i="30"/>
  <c r="G231" i="30"/>
  <c r="H231" i="30"/>
  <c r="I231" i="30"/>
  <c r="J231" i="30"/>
  <c r="K231" i="30"/>
  <c r="L231" i="30"/>
  <c r="M231" i="30"/>
  <c r="M226" i="30"/>
  <c r="L226" i="30"/>
  <c r="K226" i="30"/>
  <c r="J226" i="30"/>
  <c r="I226" i="30"/>
  <c r="H226" i="30"/>
  <c r="G226" i="30"/>
  <c r="F226" i="30"/>
  <c r="E226" i="30"/>
  <c r="D226" i="30"/>
  <c r="D224" i="30"/>
  <c r="N232" i="30"/>
  <c r="J232" i="30"/>
  <c r="E232" i="30"/>
  <c r="D217" i="30"/>
  <c r="E217" i="30"/>
  <c r="F217" i="30"/>
  <c r="G217" i="30"/>
  <c r="H217" i="30"/>
  <c r="I217" i="30"/>
  <c r="J217" i="30"/>
  <c r="K217" i="30"/>
  <c r="L217" i="30"/>
  <c r="M217" i="30"/>
  <c r="D218" i="30"/>
  <c r="E218" i="30"/>
  <c r="F218" i="30"/>
  <c r="G218" i="30"/>
  <c r="H218" i="30"/>
  <c r="I218" i="30"/>
  <c r="J218" i="30"/>
  <c r="K218" i="30"/>
  <c r="L218" i="30"/>
  <c r="M218" i="30"/>
  <c r="D219" i="30"/>
  <c r="E219" i="30"/>
  <c r="F219" i="30"/>
  <c r="G219" i="30"/>
  <c r="H219" i="30"/>
  <c r="I219" i="30"/>
  <c r="J219" i="30"/>
  <c r="K219" i="30"/>
  <c r="L219" i="30"/>
  <c r="M219" i="30"/>
  <c r="D220" i="30"/>
  <c r="E220" i="30"/>
  <c r="F220" i="30"/>
  <c r="G220" i="30"/>
  <c r="H220" i="30"/>
  <c r="I220" i="30"/>
  <c r="J220" i="30"/>
  <c r="K220" i="30"/>
  <c r="L220" i="30"/>
  <c r="M220" i="30"/>
  <c r="M216" i="30"/>
  <c r="L216" i="30"/>
  <c r="K216" i="30"/>
  <c r="J216" i="30"/>
  <c r="I216" i="30"/>
  <c r="H216" i="30"/>
  <c r="G216" i="30"/>
  <c r="F216" i="30"/>
  <c r="E216" i="30"/>
  <c r="D216" i="30"/>
  <c r="D214" i="30"/>
  <c r="N221" i="30"/>
  <c r="J221" i="30"/>
  <c r="E221" i="30"/>
  <c r="I207" i="30"/>
  <c r="I208" i="30"/>
  <c r="I209" i="30"/>
  <c r="I210" i="30"/>
  <c r="I206" i="30"/>
  <c r="I196" i="30"/>
  <c r="I197" i="30"/>
  <c r="I198" i="30"/>
  <c r="I199" i="30"/>
  <c r="I200" i="30"/>
  <c r="I195" i="30"/>
  <c r="I179" i="30"/>
  <c r="I180" i="30"/>
  <c r="I181" i="30"/>
  <c r="I182" i="30"/>
  <c r="I183" i="30"/>
  <c r="I184" i="30"/>
  <c r="I185" i="30"/>
  <c r="I186" i="30"/>
  <c r="I187" i="30"/>
  <c r="I188" i="30"/>
  <c r="I178" i="30"/>
  <c r="I171" i="30"/>
  <c r="I172" i="30"/>
  <c r="I170" i="30"/>
  <c r="I162" i="30"/>
  <c r="I163" i="30"/>
  <c r="I164" i="30"/>
  <c r="I161" i="30"/>
  <c r="I141" i="30"/>
  <c r="I142" i="30"/>
  <c r="I143" i="30"/>
  <c r="I144" i="30"/>
  <c r="I140" i="30"/>
  <c r="I132" i="30"/>
  <c r="I133" i="30"/>
  <c r="I134" i="30"/>
  <c r="I131" i="30"/>
  <c r="I113" i="30"/>
  <c r="I114" i="30"/>
  <c r="I115" i="30"/>
  <c r="I116" i="30"/>
  <c r="I112" i="30"/>
  <c r="I102" i="30"/>
  <c r="I103" i="30"/>
  <c r="I104" i="30"/>
  <c r="I105" i="30"/>
  <c r="I106" i="30"/>
  <c r="I101" i="30"/>
  <c r="I93" i="30"/>
  <c r="I94" i="30"/>
  <c r="I95" i="30"/>
  <c r="I92" i="30"/>
  <c r="I80" i="30"/>
  <c r="I81" i="30"/>
  <c r="I82" i="30"/>
  <c r="I83" i="30"/>
  <c r="I84" i="30"/>
  <c r="I85" i="30"/>
  <c r="I86" i="30"/>
  <c r="I79" i="30"/>
  <c r="I71" i="30"/>
  <c r="I72" i="30"/>
  <c r="I73" i="30"/>
  <c r="I70" i="30"/>
  <c r="I61" i="30"/>
  <c r="I62" i="30"/>
  <c r="I63" i="30"/>
  <c r="I64" i="30"/>
  <c r="I60" i="30"/>
  <c r="I51" i="30"/>
  <c r="I52" i="30"/>
  <c r="I53" i="30"/>
  <c r="I54" i="30"/>
  <c r="I50" i="30"/>
  <c r="I35" i="30"/>
  <c r="I36" i="30"/>
  <c r="I37" i="30"/>
  <c r="I38" i="30"/>
  <c r="I39" i="30"/>
  <c r="I40" i="30"/>
  <c r="I41" i="30"/>
  <c r="I42" i="30"/>
  <c r="I43" i="30"/>
  <c r="I34" i="30"/>
  <c r="I24" i="30"/>
  <c r="I25" i="30"/>
  <c r="I26" i="30"/>
  <c r="I27" i="30"/>
  <c r="I23" i="30"/>
  <c r="I15" i="30"/>
  <c r="I16" i="30"/>
  <c r="I14" i="30"/>
  <c r="J14" i="30"/>
  <c r="D207" i="30"/>
  <c r="E207" i="30"/>
  <c r="F207" i="30"/>
  <c r="G207" i="30"/>
  <c r="H207" i="30"/>
  <c r="J207" i="30"/>
  <c r="K207" i="30"/>
  <c r="L207" i="30"/>
  <c r="M207" i="30"/>
  <c r="D208" i="30"/>
  <c r="E208" i="30"/>
  <c r="F208" i="30"/>
  <c r="G208" i="30"/>
  <c r="H208" i="30"/>
  <c r="J208" i="30"/>
  <c r="K208" i="30"/>
  <c r="L208" i="30"/>
  <c r="M208" i="30"/>
  <c r="D209" i="30"/>
  <c r="E209" i="30"/>
  <c r="F209" i="30"/>
  <c r="G209" i="30"/>
  <c r="H209" i="30"/>
  <c r="J209" i="30"/>
  <c r="K209" i="30"/>
  <c r="L209" i="30"/>
  <c r="M209" i="30"/>
  <c r="D210" i="30"/>
  <c r="E210" i="30"/>
  <c r="F210" i="30"/>
  <c r="G210" i="30"/>
  <c r="H210" i="30"/>
  <c r="J210" i="30"/>
  <c r="K210" i="30"/>
  <c r="L210" i="30"/>
  <c r="M210" i="30"/>
  <c r="M206" i="30"/>
  <c r="L206" i="30"/>
  <c r="K206" i="30"/>
  <c r="J206" i="30"/>
  <c r="H206" i="30"/>
  <c r="G206" i="30"/>
  <c r="F206" i="30"/>
  <c r="E206" i="30"/>
  <c r="D206" i="30"/>
  <c r="D204" i="30"/>
  <c r="N211" i="30"/>
  <c r="J211" i="30"/>
  <c r="E211" i="30"/>
  <c r="D196" i="30"/>
  <c r="E196" i="30"/>
  <c r="F196" i="30"/>
  <c r="G196" i="30"/>
  <c r="H196" i="30"/>
  <c r="J196" i="30"/>
  <c r="K196" i="30"/>
  <c r="L196" i="30"/>
  <c r="M196" i="30"/>
  <c r="D197" i="30"/>
  <c r="E197" i="30"/>
  <c r="F197" i="30"/>
  <c r="G197" i="30"/>
  <c r="H197" i="30"/>
  <c r="J197" i="30"/>
  <c r="K197" i="30"/>
  <c r="L197" i="30"/>
  <c r="M197" i="30"/>
  <c r="D198" i="30"/>
  <c r="E198" i="30"/>
  <c r="F198" i="30"/>
  <c r="G198" i="30"/>
  <c r="H198" i="30"/>
  <c r="J198" i="30"/>
  <c r="K198" i="30"/>
  <c r="L198" i="30"/>
  <c r="M198" i="30"/>
  <c r="D199" i="30"/>
  <c r="E199" i="30"/>
  <c r="F199" i="30"/>
  <c r="G199" i="30"/>
  <c r="H199" i="30"/>
  <c r="J199" i="30"/>
  <c r="K199" i="30"/>
  <c r="L199" i="30"/>
  <c r="M199" i="30"/>
  <c r="D200" i="30"/>
  <c r="E200" i="30"/>
  <c r="F200" i="30"/>
  <c r="G200" i="30"/>
  <c r="H200" i="30"/>
  <c r="J200" i="30"/>
  <c r="K200" i="30"/>
  <c r="L200" i="30"/>
  <c r="M200" i="30"/>
  <c r="M195" i="30"/>
  <c r="L195" i="30"/>
  <c r="K195" i="30"/>
  <c r="J195" i="30"/>
  <c r="H195" i="30"/>
  <c r="G195" i="30"/>
  <c r="F195" i="30"/>
  <c r="E195" i="30"/>
  <c r="D195" i="30"/>
  <c r="D193" i="30"/>
  <c r="N201" i="30"/>
  <c r="J201" i="30"/>
  <c r="E201" i="30"/>
  <c r="D179" i="30"/>
  <c r="E179" i="30"/>
  <c r="F179" i="30"/>
  <c r="G179" i="30"/>
  <c r="H179" i="30"/>
  <c r="J179" i="30"/>
  <c r="K179" i="30"/>
  <c r="L179" i="30"/>
  <c r="M179" i="30"/>
  <c r="D180" i="30"/>
  <c r="E180" i="30"/>
  <c r="F180" i="30"/>
  <c r="G180" i="30"/>
  <c r="H180" i="30"/>
  <c r="J180" i="30"/>
  <c r="K180" i="30"/>
  <c r="L180" i="30"/>
  <c r="M180" i="30"/>
  <c r="D181" i="30"/>
  <c r="E181" i="30"/>
  <c r="F181" i="30"/>
  <c r="G181" i="30"/>
  <c r="H181" i="30"/>
  <c r="J181" i="30"/>
  <c r="K181" i="30"/>
  <c r="L181" i="30"/>
  <c r="M181" i="30"/>
  <c r="D182" i="30"/>
  <c r="E182" i="30"/>
  <c r="F182" i="30"/>
  <c r="G182" i="30"/>
  <c r="H182" i="30"/>
  <c r="J182" i="30"/>
  <c r="K182" i="30"/>
  <c r="L182" i="30"/>
  <c r="M182" i="30"/>
  <c r="D183" i="30"/>
  <c r="E183" i="30"/>
  <c r="F183" i="30"/>
  <c r="G183" i="30"/>
  <c r="H183" i="30"/>
  <c r="J183" i="30"/>
  <c r="K183" i="30"/>
  <c r="L183" i="30"/>
  <c r="M183" i="30"/>
  <c r="D184" i="30"/>
  <c r="E184" i="30"/>
  <c r="F184" i="30"/>
  <c r="G184" i="30"/>
  <c r="H184" i="30"/>
  <c r="J184" i="30"/>
  <c r="K184" i="30"/>
  <c r="L184" i="30"/>
  <c r="M184" i="30"/>
  <c r="D185" i="30"/>
  <c r="E185" i="30"/>
  <c r="F185" i="30"/>
  <c r="G185" i="30"/>
  <c r="H185" i="30"/>
  <c r="J185" i="30"/>
  <c r="K185" i="30"/>
  <c r="L185" i="30"/>
  <c r="M185" i="30"/>
  <c r="D186" i="30"/>
  <c r="E186" i="30"/>
  <c r="F186" i="30"/>
  <c r="G186" i="30"/>
  <c r="H186" i="30"/>
  <c r="J186" i="30"/>
  <c r="K186" i="30"/>
  <c r="L186" i="30"/>
  <c r="M186" i="30"/>
  <c r="D187" i="30"/>
  <c r="E187" i="30"/>
  <c r="F187" i="30"/>
  <c r="G187" i="30"/>
  <c r="H187" i="30"/>
  <c r="J187" i="30"/>
  <c r="K187" i="30"/>
  <c r="L187" i="30"/>
  <c r="M187" i="30"/>
  <c r="D188" i="30"/>
  <c r="E188" i="30"/>
  <c r="F188" i="30"/>
  <c r="G188" i="30"/>
  <c r="H188" i="30"/>
  <c r="J188" i="30"/>
  <c r="K188" i="30"/>
  <c r="L188" i="30"/>
  <c r="M188" i="30"/>
  <c r="M178" i="30"/>
  <c r="L178" i="30"/>
  <c r="K178" i="30"/>
  <c r="J178" i="30"/>
  <c r="H178" i="30"/>
  <c r="G178" i="30"/>
  <c r="F178" i="30"/>
  <c r="E178" i="30"/>
  <c r="D178" i="30"/>
  <c r="D176" i="30"/>
  <c r="N189" i="30"/>
  <c r="J189" i="30"/>
  <c r="E189" i="30"/>
  <c r="D171" i="30"/>
  <c r="E171" i="30"/>
  <c r="F171" i="30"/>
  <c r="G171" i="30"/>
  <c r="H171" i="30"/>
  <c r="J171" i="30"/>
  <c r="K171" i="30"/>
  <c r="L171" i="30"/>
  <c r="M171" i="30"/>
  <c r="D172" i="30"/>
  <c r="E172" i="30"/>
  <c r="F172" i="30"/>
  <c r="G172" i="30"/>
  <c r="H172" i="30"/>
  <c r="J172" i="30"/>
  <c r="K172" i="30"/>
  <c r="L172" i="30"/>
  <c r="M172" i="30"/>
  <c r="M170" i="30"/>
  <c r="L170" i="30"/>
  <c r="K170" i="30"/>
  <c r="J170" i="30"/>
  <c r="H170" i="30"/>
  <c r="G170" i="30"/>
  <c r="F170" i="30"/>
  <c r="E170" i="30"/>
  <c r="D170" i="30"/>
  <c r="D168" i="30"/>
  <c r="N173" i="30"/>
  <c r="J173" i="30"/>
  <c r="E173" i="30"/>
  <c r="D162" i="30"/>
  <c r="E162" i="30"/>
  <c r="F162" i="30"/>
  <c r="G162" i="30"/>
  <c r="H162" i="30"/>
  <c r="J162" i="30"/>
  <c r="K162" i="30"/>
  <c r="L162" i="30"/>
  <c r="M162" i="30"/>
  <c r="D163" i="30"/>
  <c r="E163" i="30"/>
  <c r="F163" i="30"/>
  <c r="G163" i="30"/>
  <c r="H163" i="30"/>
  <c r="J163" i="30"/>
  <c r="K163" i="30"/>
  <c r="L163" i="30"/>
  <c r="M163" i="30"/>
  <c r="D164" i="30"/>
  <c r="E164" i="30"/>
  <c r="F164" i="30"/>
  <c r="G164" i="30"/>
  <c r="H164" i="30"/>
  <c r="J164" i="30"/>
  <c r="K164" i="30"/>
  <c r="L164" i="30"/>
  <c r="M164" i="30"/>
  <c r="M161" i="30"/>
  <c r="L161" i="30"/>
  <c r="K161" i="30"/>
  <c r="J161" i="30"/>
  <c r="H161" i="30"/>
  <c r="G161" i="30"/>
  <c r="F161" i="30"/>
  <c r="E161" i="30"/>
  <c r="D161" i="30"/>
  <c r="D159" i="30"/>
  <c r="N165" i="30"/>
  <c r="J165" i="30"/>
  <c r="E165" i="30"/>
  <c r="D141" i="30"/>
  <c r="E141" i="30"/>
  <c r="F141" i="30"/>
  <c r="G141" i="30"/>
  <c r="H141" i="30"/>
  <c r="J141" i="30"/>
  <c r="K141" i="30"/>
  <c r="L141" i="30"/>
  <c r="M141" i="30"/>
  <c r="D142" i="30"/>
  <c r="E142" i="30"/>
  <c r="F142" i="30"/>
  <c r="G142" i="30"/>
  <c r="H142" i="30"/>
  <c r="J142" i="30"/>
  <c r="K142" i="30"/>
  <c r="L142" i="30"/>
  <c r="M142" i="30"/>
  <c r="D143" i="30"/>
  <c r="E143" i="30"/>
  <c r="F143" i="30"/>
  <c r="G143" i="30"/>
  <c r="H143" i="30"/>
  <c r="J143" i="30"/>
  <c r="K143" i="30"/>
  <c r="L143" i="30"/>
  <c r="M143" i="30"/>
  <c r="D144" i="30"/>
  <c r="E144" i="30"/>
  <c r="F144" i="30"/>
  <c r="G144" i="30"/>
  <c r="H144" i="30"/>
  <c r="J144" i="30"/>
  <c r="K144" i="30"/>
  <c r="L144" i="30"/>
  <c r="M144" i="30"/>
  <c r="M140" i="30"/>
  <c r="L140" i="30"/>
  <c r="K140" i="30"/>
  <c r="J140" i="30"/>
  <c r="H140" i="30"/>
  <c r="G140" i="30"/>
  <c r="F140" i="30"/>
  <c r="E140" i="30"/>
  <c r="D140" i="30"/>
  <c r="D138" i="30"/>
  <c r="N145" i="30"/>
  <c r="J145" i="30"/>
  <c r="E145" i="30"/>
  <c r="D132" i="30"/>
  <c r="E132" i="30"/>
  <c r="F132" i="30"/>
  <c r="G132" i="30"/>
  <c r="H132" i="30"/>
  <c r="J132" i="30"/>
  <c r="K132" i="30"/>
  <c r="L132" i="30"/>
  <c r="M132" i="30"/>
  <c r="D133" i="30"/>
  <c r="E133" i="30"/>
  <c r="F133" i="30"/>
  <c r="G133" i="30"/>
  <c r="H133" i="30"/>
  <c r="J133" i="30"/>
  <c r="K133" i="30"/>
  <c r="L133" i="30"/>
  <c r="M133" i="30"/>
  <c r="D134" i="30"/>
  <c r="E134" i="30"/>
  <c r="F134" i="30"/>
  <c r="G134" i="30"/>
  <c r="H134" i="30"/>
  <c r="J134" i="30"/>
  <c r="K134" i="30"/>
  <c r="L134" i="30"/>
  <c r="M134" i="30"/>
  <c r="M131" i="30"/>
  <c r="L131" i="30"/>
  <c r="K131" i="30"/>
  <c r="J131" i="30"/>
  <c r="H131" i="30"/>
  <c r="G131" i="30"/>
  <c r="F131" i="30"/>
  <c r="E131" i="30"/>
  <c r="D131" i="30"/>
  <c r="D129" i="30"/>
  <c r="N135" i="30"/>
  <c r="J135" i="30"/>
  <c r="E135" i="30"/>
  <c r="D113" i="30"/>
  <c r="E113" i="30"/>
  <c r="F113" i="30"/>
  <c r="G113" i="30"/>
  <c r="H113" i="30"/>
  <c r="J113" i="30"/>
  <c r="K113" i="30"/>
  <c r="L113" i="30"/>
  <c r="M113" i="30"/>
  <c r="D114" i="30"/>
  <c r="E114" i="30"/>
  <c r="F114" i="30"/>
  <c r="G114" i="30"/>
  <c r="H114" i="30"/>
  <c r="J114" i="30"/>
  <c r="K114" i="30"/>
  <c r="L114" i="30"/>
  <c r="M114" i="30"/>
  <c r="D115" i="30"/>
  <c r="E115" i="30"/>
  <c r="F115" i="30"/>
  <c r="G115" i="30"/>
  <c r="H115" i="30"/>
  <c r="J115" i="30"/>
  <c r="K115" i="30"/>
  <c r="L115" i="30"/>
  <c r="M115" i="30"/>
  <c r="D116" i="30"/>
  <c r="E116" i="30"/>
  <c r="F116" i="30"/>
  <c r="G116" i="30"/>
  <c r="H116" i="30"/>
  <c r="J116" i="30"/>
  <c r="K116" i="30"/>
  <c r="L116" i="30"/>
  <c r="M116" i="30"/>
  <c r="M112" i="30"/>
  <c r="L112" i="30"/>
  <c r="K112" i="30"/>
  <c r="J112" i="30"/>
  <c r="H112" i="30"/>
  <c r="G112" i="30"/>
  <c r="F112" i="30"/>
  <c r="E112" i="30"/>
  <c r="D112" i="30"/>
  <c r="D110" i="30"/>
  <c r="N117" i="30"/>
  <c r="J117" i="30"/>
  <c r="E117" i="30"/>
  <c r="D102" i="30"/>
  <c r="E102" i="30"/>
  <c r="F102" i="30"/>
  <c r="G102" i="30"/>
  <c r="H102" i="30"/>
  <c r="J102" i="30"/>
  <c r="K102" i="30"/>
  <c r="L102" i="30"/>
  <c r="M102" i="30"/>
  <c r="D103" i="30"/>
  <c r="E103" i="30"/>
  <c r="F103" i="30"/>
  <c r="G103" i="30"/>
  <c r="H103" i="30"/>
  <c r="J103" i="30"/>
  <c r="K103" i="30"/>
  <c r="L103" i="30"/>
  <c r="M103" i="30"/>
  <c r="D104" i="30"/>
  <c r="E104" i="30"/>
  <c r="F104" i="30"/>
  <c r="G104" i="30"/>
  <c r="H104" i="30"/>
  <c r="J104" i="30"/>
  <c r="K104" i="30"/>
  <c r="L104" i="30"/>
  <c r="M104" i="30"/>
  <c r="D105" i="30"/>
  <c r="E105" i="30"/>
  <c r="F105" i="30"/>
  <c r="G105" i="30"/>
  <c r="H105" i="30"/>
  <c r="J105" i="30"/>
  <c r="K105" i="30"/>
  <c r="L105" i="30"/>
  <c r="M105" i="30"/>
  <c r="D106" i="30"/>
  <c r="E106" i="30"/>
  <c r="F106" i="30"/>
  <c r="G106" i="30"/>
  <c r="H106" i="30"/>
  <c r="J106" i="30"/>
  <c r="K106" i="30"/>
  <c r="L106" i="30"/>
  <c r="M106" i="30"/>
  <c r="M101" i="30"/>
  <c r="L101" i="30"/>
  <c r="K101" i="30"/>
  <c r="J101" i="30"/>
  <c r="H101" i="30"/>
  <c r="G101" i="30"/>
  <c r="F101" i="30"/>
  <c r="E101" i="30"/>
  <c r="D101" i="30"/>
  <c r="D99" i="30"/>
  <c r="N107" i="30"/>
  <c r="J107" i="30"/>
  <c r="E107" i="30"/>
  <c r="D93" i="30"/>
  <c r="E93" i="30"/>
  <c r="F93" i="30"/>
  <c r="G93" i="30"/>
  <c r="H93" i="30"/>
  <c r="J93" i="30"/>
  <c r="K93" i="30"/>
  <c r="L93" i="30"/>
  <c r="M93" i="30"/>
  <c r="D94" i="30"/>
  <c r="E94" i="30"/>
  <c r="F94" i="30"/>
  <c r="G94" i="30"/>
  <c r="H94" i="30"/>
  <c r="J94" i="30"/>
  <c r="K94" i="30"/>
  <c r="L94" i="30"/>
  <c r="M94" i="30"/>
  <c r="D95" i="30"/>
  <c r="E95" i="30"/>
  <c r="F95" i="30"/>
  <c r="G95" i="30"/>
  <c r="H95" i="30"/>
  <c r="J95" i="30"/>
  <c r="K95" i="30"/>
  <c r="L95" i="30"/>
  <c r="M95" i="30"/>
  <c r="M92" i="30"/>
  <c r="L92" i="30"/>
  <c r="K92" i="30"/>
  <c r="J92" i="30"/>
  <c r="H92" i="30"/>
  <c r="G92" i="30"/>
  <c r="F92" i="30"/>
  <c r="E92" i="30"/>
  <c r="D92" i="30"/>
  <c r="D90" i="30"/>
  <c r="N96" i="30"/>
  <c r="J96" i="30"/>
  <c r="E96" i="30"/>
  <c r="D80" i="30"/>
  <c r="E80" i="30"/>
  <c r="F80" i="30"/>
  <c r="G80" i="30"/>
  <c r="H80" i="30"/>
  <c r="J80" i="30"/>
  <c r="K80" i="30"/>
  <c r="L80" i="30"/>
  <c r="M80" i="30"/>
  <c r="D81" i="30"/>
  <c r="E81" i="30"/>
  <c r="F81" i="30"/>
  <c r="G81" i="30"/>
  <c r="H81" i="30"/>
  <c r="J81" i="30"/>
  <c r="K81" i="30"/>
  <c r="L81" i="30"/>
  <c r="M81" i="30"/>
  <c r="D82" i="30"/>
  <c r="E82" i="30"/>
  <c r="F82" i="30"/>
  <c r="G82" i="30"/>
  <c r="H82" i="30"/>
  <c r="J82" i="30"/>
  <c r="K82" i="30"/>
  <c r="L82" i="30"/>
  <c r="M82" i="30"/>
  <c r="D83" i="30"/>
  <c r="E83" i="30"/>
  <c r="F83" i="30"/>
  <c r="G83" i="30"/>
  <c r="H83" i="30"/>
  <c r="J83" i="30"/>
  <c r="K83" i="30"/>
  <c r="L83" i="30"/>
  <c r="M83" i="30"/>
  <c r="D84" i="30"/>
  <c r="E84" i="30"/>
  <c r="F84" i="30"/>
  <c r="G84" i="30"/>
  <c r="H84" i="30"/>
  <c r="J84" i="30"/>
  <c r="K84" i="30"/>
  <c r="L84" i="30"/>
  <c r="M84" i="30"/>
  <c r="D85" i="30"/>
  <c r="E85" i="30"/>
  <c r="F85" i="30"/>
  <c r="G85" i="30"/>
  <c r="H85" i="30"/>
  <c r="J85" i="30"/>
  <c r="K85" i="30"/>
  <c r="L85" i="30"/>
  <c r="M85" i="30"/>
  <c r="D86" i="30"/>
  <c r="E86" i="30"/>
  <c r="F86" i="30"/>
  <c r="G86" i="30"/>
  <c r="H86" i="30"/>
  <c r="J86" i="30"/>
  <c r="K86" i="30"/>
  <c r="L86" i="30"/>
  <c r="M86" i="30"/>
  <c r="M79" i="30"/>
  <c r="L79" i="30"/>
  <c r="K79" i="30"/>
  <c r="J79" i="30"/>
  <c r="H79" i="30"/>
  <c r="G79" i="30"/>
  <c r="F79" i="30"/>
  <c r="E79" i="30"/>
  <c r="D79" i="30"/>
  <c r="D77" i="30"/>
  <c r="E87" i="30"/>
  <c r="N87" i="30"/>
  <c r="J87" i="30"/>
  <c r="D71" i="30"/>
  <c r="E71" i="30"/>
  <c r="F71" i="30"/>
  <c r="G71" i="30"/>
  <c r="H71" i="30"/>
  <c r="J71" i="30"/>
  <c r="K71" i="30"/>
  <c r="L71" i="30"/>
  <c r="M71" i="30"/>
  <c r="D72" i="30"/>
  <c r="E72" i="30"/>
  <c r="F72" i="30"/>
  <c r="G72" i="30"/>
  <c r="H72" i="30"/>
  <c r="J72" i="30"/>
  <c r="K72" i="30"/>
  <c r="L72" i="30"/>
  <c r="M72" i="30"/>
  <c r="D73" i="30"/>
  <c r="E73" i="30"/>
  <c r="F73" i="30"/>
  <c r="G73" i="30"/>
  <c r="H73" i="30"/>
  <c r="J73" i="30"/>
  <c r="K73" i="30"/>
  <c r="L73" i="30"/>
  <c r="M73" i="30"/>
  <c r="M70" i="30"/>
  <c r="L70" i="30"/>
  <c r="K70" i="30"/>
  <c r="J70" i="30"/>
  <c r="H70" i="30"/>
  <c r="G70" i="30"/>
  <c r="F70" i="30"/>
  <c r="E70" i="30"/>
  <c r="D70" i="30"/>
  <c r="D68" i="30"/>
  <c r="N74" i="30"/>
  <c r="J74" i="30"/>
  <c r="E74" i="30"/>
  <c r="E65" i="30"/>
  <c r="D61" i="30"/>
  <c r="E61" i="30"/>
  <c r="F61" i="30"/>
  <c r="G61" i="30"/>
  <c r="H61" i="30"/>
  <c r="J61" i="30"/>
  <c r="K61" i="30"/>
  <c r="L61" i="30"/>
  <c r="M61" i="30"/>
  <c r="D62" i="30"/>
  <c r="E62" i="30"/>
  <c r="F62" i="30"/>
  <c r="G62" i="30"/>
  <c r="H62" i="30"/>
  <c r="J62" i="30"/>
  <c r="K62" i="30"/>
  <c r="L62" i="30"/>
  <c r="M62" i="30"/>
  <c r="D63" i="30"/>
  <c r="E63" i="30"/>
  <c r="F63" i="30"/>
  <c r="G63" i="30"/>
  <c r="H63" i="30"/>
  <c r="J63" i="30"/>
  <c r="K63" i="30"/>
  <c r="L63" i="30"/>
  <c r="M63" i="30"/>
  <c r="D64" i="30"/>
  <c r="E64" i="30"/>
  <c r="F64" i="30"/>
  <c r="G64" i="30"/>
  <c r="H64" i="30"/>
  <c r="J64" i="30"/>
  <c r="K64" i="30"/>
  <c r="L64" i="30"/>
  <c r="M64" i="30"/>
  <c r="M60" i="30"/>
  <c r="L60" i="30"/>
  <c r="K60" i="30"/>
  <c r="J60" i="30"/>
  <c r="H60" i="30"/>
  <c r="G60" i="30"/>
  <c r="F60" i="30"/>
  <c r="E60" i="30"/>
  <c r="D60" i="30"/>
  <c r="D51" i="30"/>
  <c r="E51" i="30"/>
  <c r="F51" i="30"/>
  <c r="G51" i="30"/>
  <c r="H51" i="30"/>
  <c r="J51" i="30"/>
  <c r="K51" i="30"/>
  <c r="L51" i="30"/>
  <c r="M51" i="30"/>
  <c r="D52" i="30"/>
  <c r="E52" i="30"/>
  <c r="F52" i="30"/>
  <c r="G52" i="30"/>
  <c r="H52" i="30"/>
  <c r="J52" i="30"/>
  <c r="K52" i="30"/>
  <c r="L52" i="30"/>
  <c r="M52" i="30"/>
  <c r="D53" i="30"/>
  <c r="E53" i="30"/>
  <c r="F53" i="30"/>
  <c r="G53" i="30"/>
  <c r="H53" i="30"/>
  <c r="J53" i="30"/>
  <c r="K53" i="30"/>
  <c r="L53" i="30"/>
  <c r="M53" i="30"/>
  <c r="D54" i="30"/>
  <c r="E54" i="30"/>
  <c r="F54" i="30"/>
  <c r="G54" i="30"/>
  <c r="H54" i="30"/>
  <c r="J54" i="30"/>
  <c r="K54" i="30"/>
  <c r="L54" i="30"/>
  <c r="M54" i="30"/>
  <c r="M50" i="30"/>
  <c r="L50" i="30"/>
  <c r="K50" i="30"/>
  <c r="J50" i="30"/>
  <c r="H50" i="30"/>
  <c r="G50" i="30"/>
  <c r="F50" i="30"/>
  <c r="E50" i="30"/>
  <c r="D50" i="30"/>
  <c r="D35" i="30"/>
  <c r="E35" i="30"/>
  <c r="F35" i="30"/>
  <c r="G35" i="30"/>
  <c r="H35" i="30"/>
  <c r="J35" i="30"/>
  <c r="K35" i="30"/>
  <c r="L35" i="30"/>
  <c r="M35" i="30"/>
  <c r="D36" i="30"/>
  <c r="E36" i="30"/>
  <c r="F36" i="30"/>
  <c r="G36" i="30"/>
  <c r="H36" i="30"/>
  <c r="J36" i="30"/>
  <c r="K36" i="30"/>
  <c r="L36" i="30"/>
  <c r="M36" i="30"/>
  <c r="D37" i="30"/>
  <c r="E37" i="30"/>
  <c r="F37" i="30"/>
  <c r="G37" i="30"/>
  <c r="H37" i="30"/>
  <c r="J37" i="30"/>
  <c r="K37" i="30"/>
  <c r="L37" i="30"/>
  <c r="M37" i="30"/>
  <c r="D38" i="30"/>
  <c r="E38" i="30"/>
  <c r="F38" i="30"/>
  <c r="G38" i="30"/>
  <c r="H38" i="30"/>
  <c r="J38" i="30"/>
  <c r="K38" i="30"/>
  <c r="L38" i="30"/>
  <c r="M38" i="30"/>
  <c r="D39" i="30"/>
  <c r="E39" i="30"/>
  <c r="F39" i="30"/>
  <c r="G39" i="30"/>
  <c r="H39" i="30"/>
  <c r="J39" i="30"/>
  <c r="K39" i="30"/>
  <c r="L39" i="30"/>
  <c r="M39" i="30"/>
  <c r="D40" i="30"/>
  <c r="E40" i="30"/>
  <c r="F40" i="30"/>
  <c r="G40" i="30"/>
  <c r="H40" i="30"/>
  <c r="J40" i="30"/>
  <c r="K40" i="30"/>
  <c r="L40" i="30"/>
  <c r="M40" i="30"/>
  <c r="D41" i="30"/>
  <c r="E41" i="30"/>
  <c r="F41" i="30"/>
  <c r="G41" i="30"/>
  <c r="H41" i="30"/>
  <c r="J41" i="30"/>
  <c r="K41" i="30"/>
  <c r="L41" i="30"/>
  <c r="M41" i="30"/>
  <c r="D42" i="30"/>
  <c r="E42" i="30"/>
  <c r="F42" i="30"/>
  <c r="G42" i="30"/>
  <c r="H42" i="30"/>
  <c r="J42" i="30"/>
  <c r="K42" i="30"/>
  <c r="L42" i="30"/>
  <c r="M42" i="30"/>
  <c r="D43" i="30"/>
  <c r="E43" i="30"/>
  <c r="F43" i="30"/>
  <c r="G43" i="30"/>
  <c r="H43" i="30"/>
  <c r="J43" i="30"/>
  <c r="K43" i="30"/>
  <c r="L43" i="30"/>
  <c r="M43" i="30"/>
  <c r="M34" i="30"/>
  <c r="L34" i="30"/>
  <c r="K34" i="30"/>
  <c r="J34" i="30"/>
  <c r="H34" i="30"/>
  <c r="G34" i="30"/>
  <c r="F34" i="30"/>
  <c r="E34" i="30"/>
  <c r="D34" i="30"/>
  <c r="D24" i="30"/>
  <c r="E24" i="30"/>
  <c r="F24" i="30"/>
  <c r="G24" i="30"/>
  <c r="H24" i="30"/>
  <c r="J24" i="30"/>
  <c r="K24" i="30"/>
  <c r="L24" i="30"/>
  <c r="M24" i="30"/>
  <c r="D25" i="30"/>
  <c r="E25" i="30"/>
  <c r="F25" i="30"/>
  <c r="G25" i="30"/>
  <c r="H25" i="30"/>
  <c r="J25" i="30"/>
  <c r="K25" i="30"/>
  <c r="L25" i="30"/>
  <c r="M25" i="30"/>
  <c r="D26" i="30"/>
  <c r="E26" i="30"/>
  <c r="F26" i="30"/>
  <c r="G26" i="30"/>
  <c r="H26" i="30"/>
  <c r="J26" i="30"/>
  <c r="K26" i="30"/>
  <c r="L26" i="30"/>
  <c r="M26" i="30"/>
  <c r="D27" i="30"/>
  <c r="E27" i="30"/>
  <c r="F27" i="30"/>
  <c r="G27" i="30"/>
  <c r="H27" i="30"/>
  <c r="J27" i="30"/>
  <c r="K27" i="30"/>
  <c r="L27" i="30"/>
  <c r="M27" i="30"/>
  <c r="D23" i="30"/>
  <c r="M23" i="30"/>
  <c r="L23" i="30"/>
  <c r="K23" i="30"/>
  <c r="J23" i="30"/>
  <c r="H23" i="30"/>
  <c r="G23" i="30"/>
  <c r="F23" i="30"/>
  <c r="E23" i="30"/>
  <c r="D15" i="30"/>
  <c r="E15" i="30"/>
  <c r="F15" i="30"/>
  <c r="G15" i="30"/>
  <c r="H15" i="30"/>
  <c r="J15" i="30"/>
  <c r="K15" i="30"/>
  <c r="L15" i="30"/>
  <c r="M15" i="30"/>
  <c r="D16" i="30"/>
  <c r="E16" i="30"/>
  <c r="F16" i="30"/>
  <c r="G16" i="30"/>
  <c r="H16" i="30"/>
  <c r="J16" i="30"/>
  <c r="K16" i="30"/>
  <c r="L16" i="30"/>
  <c r="M16" i="30"/>
  <c r="M14" i="30"/>
  <c r="L14" i="30"/>
  <c r="K14" i="30"/>
  <c r="H14" i="30"/>
  <c r="G14" i="30"/>
  <c r="F14" i="30"/>
  <c r="E14" i="30"/>
  <c r="D14" i="30"/>
  <c r="J65" i="30"/>
  <c r="D58" i="30"/>
  <c r="N65" i="30"/>
  <c r="D48" i="30"/>
  <c r="F56" i="30"/>
  <c r="N55" i="30"/>
  <c r="J55" i="30"/>
  <c r="E55" i="30"/>
  <c r="D32" i="30"/>
  <c r="N44" i="30"/>
  <c r="J44" i="30"/>
  <c r="E44" i="30"/>
  <c r="N28" i="30"/>
  <c r="J28" i="30"/>
  <c r="E28" i="30"/>
  <c r="D21" i="30"/>
  <c r="N17" i="30"/>
  <c r="J17" i="30"/>
  <c r="E17" i="30"/>
  <c r="D12"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Blaetter, Torsten</author>
  </authors>
  <commentList>
    <comment ref="AG4" authorId="0" shapeId="0" xr:uid="{00000000-0006-0000-0400-000001000000}">
      <text>
        <r>
          <rPr>
            <b/>
            <sz val="9"/>
            <color indexed="81"/>
            <rFont val="Segoe UI"/>
            <family val="2"/>
          </rPr>
          <t>Lasting Injuries:</t>
        </r>
        <r>
          <rPr>
            <sz val="9"/>
            <color indexed="81"/>
            <rFont val="Segoe UI"/>
            <family val="2"/>
          </rPr>
          <t xml:space="preserve">
Please enter a POSITIVE number </t>
        </r>
      </text>
    </comment>
    <comment ref="C7" authorId="0" shapeId="0" xr:uid="{00000000-0006-0000-0400-000002000000}">
      <text>
        <r>
          <rPr>
            <b/>
            <sz val="9"/>
            <color indexed="81"/>
            <rFont val="Segoe UI"/>
            <family val="2"/>
          </rPr>
          <t xml:space="preserve">Journeyman:
</t>
        </r>
        <r>
          <rPr>
            <sz val="9"/>
            <color indexed="81"/>
            <rFont val="Segoe UI"/>
            <family val="2"/>
          </rPr>
          <t>If you write "Journeyman" in the Name field, the Loner (4+) will be automatically added to the skills . Once you hire the Journeyman, just give him a real name and the Loner (4+) will disappear</t>
        </r>
      </text>
    </comment>
  </commentList>
</comments>
</file>

<file path=xl/sharedStrings.xml><?xml version="1.0" encoding="utf-8"?>
<sst xmlns="http://schemas.openxmlformats.org/spreadsheetml/2006/main" count="6209" uniqueCount="1086">
  <si>
    <t>Team Name</t>
  </si>
  <si>
    <t>Team Roster</t>
  </si>
  <si>
    <t>Coach</t>
  </si>
  <si>
    <t>#</t>
  </si>
  <si>
    <t>Position</t>
  </si>
  <si>
    <t>MA</t>
  </si>
  <si>
    <t>ST</t>
  </si>
  <si>
    <t>AG</t>
  </si>
  <si>
    <t>PA</t>
  </si>
  <si>
    <t>AV</t>
  </si>
  <si>
    <t>Hiring Fee</t>
  </si>
  <si>
    <t>Dedicated Fans</t>
  </si>
  <si>
    <t>Team Re-Rolls</t>
  </si>
  <si>
    <t>Assistant Coaches</t>
  </si>
  <si>
    <t>Cheerleaders</t>
  </si>
  <si>
    <t>gp</t>
  </si>
  <si>
    <t>Additional Skills</t>
  </si>
  <si>
    <t>Experienced</t>
  </si>
  <si>
    <t>Veteran</t>
  </si>
  <si>
    <t>Emerging Star</t>
  </si>
  <si>
    <t>Star</t>
  </si>
  <si>
    <t>Super Star</t>
  </si>
  <si>
    <t>Legend</t>
  </si>
  <si>
    <t>Spent SPP</t>
  </si>
  <si>
    <t>Characteristic Improvment</t>
  </si>
  <si>
    <t>Advance Type</t>
  </si>
  <si>
    <t>-</t>
  </si>
  <si>
    <t>Skill</t>
  </si>
  <si>
    <t>A</t>
  </si>
  <si>
    <t>G</t>
  </si>
  <si>
    <t>M</t>
  </si>
  <si>
    <t>P</t>
  </si>
  <si>
    <t>S</t>
  </si>
  <si>
    <t>Catch</t>
  </si>
  <si>
    <t>Diving Catch</t>
  </si>
  <si>
    <t>Diving Tackle</t>
  </si>
  <si>
    <t>Dodge</t>
  </si>
  <si>
    <t>Defensive</t>
  </si>
  <si>
    <t>Jump Up</t>
  </si>
  <si>
    <t>Leap</t>
  </si>
  <si>
    <t>Safe Pair of Hands</t>
  </si>
  <si>
    <t>Sidestep</t>
  </si>
  <si>
    <t>Sneaky Git</t>
  </si>
  <si>
    <t>Sprint</t>
  </si>
  <si>
    <t>Sure Feet</t>
  </si>
  <si>
    <t>Block</t>
  </si>
  <si>
    <t>Dauntless</t>
  </si>
  <si>
    <t>Dirty Player (+1)</t>
  </si>
  <si>
    <t>Fend</t>
  </si>
  <si>
    <t>Frenzy</t>
  </si>
  <si>
    <t>Kick</t>
  </si>
  <si>
    <t>Pro</t>
  </si>
  <si>
    <t>Shadowing</t>
  </si>
  <si>
    <t>Strip Ball</t>
  </si>
  <si>
    <t>Sure Hands</t>
  </si>
  <si>
    <t>Tackle</t>
  </si>
  <si>
    <t>Wrestle</t>
  </si>
  <si>
    <t>Big Hand</t>
  </si>
  <si>
    <t>Claws</t>
  </si>
  <si>
    <t>Disturbing Presence</t>
  </si>
  <si>
    <t>Extra Arms</t>
  </si>
  <si>
    <t>Foul Appearance</t>
  </si>
  <si>
    <t>Horns</t>
  </si>
  <si>
    <t>Iron Hard Skin</t>
  </si>
  <si>
    <t>Mountrous Mouth</t>
  </si>
  <si>
    <t>Prehensile Tail</t>
  </si>
  <si>
    <t>Tentacles</t>
  </si>
  <si>
    <t>Two Heads</t>
  </si>
  <si>
    <t>Accurate</t>
  </si>
  <si>
    <t>Cannoneer</t>
  </si>
  <si>
    <t>Cloud Burster</t>
  </si>
  <si>
    <t>Dump-off</t>
  </si>
  <si>
    <t>Fumblerooskie</t>
  </si>
  <si>
    <t>Hail Mary Pass</t>
  </si>
  <si>
    <t>Leader</t>
  </si>
  <si>
    <t>Nerves of Steel</t>
  </si>
  <si>
    <t>On the Ball</t>
  </si>
  <si>
    <t>Pass</t>
  </si>
  <si>
    <t>Running Pass</t>
  </si>
  <si>
    <t>Safe Pass</t>
  </si>
  <si>
    <t>Arm Bar</t>
  </si>
  <si>
    <t>Brawler</t>
  </si>
  <si>
    <t>Break Tackle</t>
  </si>
  <si>
    <t>Grab</t>
  </si>
  <si>
    <t>Guard</t>
  </si>
  <si>
    <t>Juggernaut</t>
  </si>
  <si>
    <t>Mighty Blow (+1)</t>
  </si>
  <si>
    <t>Multiple Block</t>
  </si>
  <si>
    <t>Pile Driver</t>
  </si>
  <si>
    <t>Stand Firm</t>
  </si>
  <si>
    <t>Strong Arm</t>
  </si>
  <si>
    <t>Thick Skull</t>
  </si>
  <si>
    <t>Black Orc</t>
  </si>
  <si>
    <t>Amazon</t>
  </si>
  <si>
    <t>Chaos Chosen</t>
  </si>
  <si>
    <t>Chaos Dwarf</t>
  </si>
  <si>
    <t>Chaos Renegade</t>
  </si>
  <si>
    <t>Dark Elf</t>
  </si>
  <si>
    <t>Dwarf</t>
  </si>
  <si>
    <t>Elven Union</t>
  </si>
  <si>
    <t>Goblin</t>
  </si>
  <si>
    <t>High Elf</t>
  </si>
  <si>
    <t>Human</t>
  </si>
  <si>
    <t>Imperial Nobility</t>
  </si>
  <si>
    <t>Lizardmen</t>
  </si>
  <si>
    <t>Necromantic Horror</t>
  </si>
  <si>
    <t>Nurgle</t>
  </si>
  <si>
    <t>Ogre</t>
  </si>
  <si>
    <t>Norse</t>
  </si>
  <si>
    <t>Old World Alliance</t>
  </si>
  <si>
    <t>Orc</t>
  </si>
  <si>
    <t>Slann</t>
  </si>
  <si>
    <t>Vampire</t>
  </si>
  <si>
    <t>Shambling Undead</t>
  </si>
  <si>
    <t>Skaven</t>
  </si>
  <si>
    <t>Snotling</t>
  </si>
  <si>
    <t>Underworld Denizens</t>
  </si>
  <si>
    <t>Wood Elf</t>
  </si>
  <si>
    <t>AM</t>
  </si>
  <si>
    <t>CD</t>
  </si>
  <si>
    <t>HE</t>
  </si>
  <si>
    <t>KH</t>
  </si>
  <si>
    <t>NO</t>
  </si>
  <si>
    <t>SL</t>
  </si>
  <si>
    <t>VA</t>
  </si>
  <si>
    <t>BO</t>
  </si>
  <si>
    <t>CC</t>
  </si>
  <si>
    <t>CR</t>
  </si>
  <si>
    <t>DE</t>
  </si>
  <si>
    <t>EU</t>
  </si>
  <si>
    <t>IN</t>
  </si>
  <si>
    <t>NH</t>
  </si>
  <si>
    <t>SU</t>
  </si>
  <si>
    <t>WE</t>
  </si>
  <si>
    <t>DW</t>
  </si>
  <si>
    <t>GO</t>
  </si>
  <si>
    <t>HA</t>
  </si>
  <si>
    <t>HU</t>
  </si>
  <si>
    <t>LM</t>
  </si>
  <si>
    <t>NU</t>
  </si>
  <si>
    <t>OG</t>
  </si>
  <si>
    <t>OW</t>
  </si>
  <si>
    <t>OR</t>
  </si>
  <si>
    <t>SK</t>
  </si>
  <si>
    <t>SN</t>
  </si>
  <si>
    <t>OW01</t>
  </si>
  <si>
    <t>OW02</t>
  </si>
  <si>
    <t>OW03</t>
  </si>
  <si>
    <t>OW04</t>
  </si>
  <si>
    <t>OW05</t>
  </si>
  <si>
    <t>OW06</t>
  </si>
  <si>
    <t>OW07</t>
  </si>
  <si>
    <t>OW08</t>
  </si>
  <si>
    <t>OW09</t>
  </si>
  <si>
    <t>OW10</t>
  </si>
  <si>
    <t>OW11</t>
  </si>
  <si>
    <t>Old World Human Lineman</t>
  </si>
  <si>
    <t>Old World Human Thrower</t>
  </si>
  <si>
    <t>Old World Human Catcher</t>
  </si>
  <si>
    <t>Old World Human Blitzer</t>
  </si>
  <si>
    <t>Old World Dwarf Blocker</t>
  </si>
  <si>
    <t>Old World Dwarf Runner</t>
  </si>
  <si>
    <t>Old World Dwarf Blitzer</t>
  </si>
  <si>
    <t>Old World Dwarf Troll Slayer</t>
  </si>
  <si>
    <t>Altern Forest Treeman</t>
  </si>
  <si>
    <t>BG</t>
  </si>
  <si>
    <t>None</t>
  </si>
  <si>
    <t>Old World Classic</t>
  </si>
  <si>
    <t>Badlands Brawl</t>
  </si>
  <si>
    <t>Halfling Thimble Cup</t>
  </si>
  <si>
    <t>Lustrian Superleague</t>
  </si>
  <si>
    <t>Sylvanian Spotlight</t>
  </si>
  <si>
    <t>Worlds Edge Superleague</t>
  </si>
  <si>
    <t>BLB</t>
  </si>
  <si>
    <t>EKL</t>
  </si>
  <si>
    <t>HTC</t>
  </si>
  <si>
    <t>OWC</t>
  </si>
  <si>
    <t>WES</t>
  </si>
  <si>
    <t>Elven Kingdoms League</t>
  </si>
  <si>
    <t>LSL</t>
  </si>
  <si>
    <t>SSL</t>
  </si>
  <si>
    <t>UWC</t>
  </si>
  <si>
    <t>Bribery and Corruption</t>
  </si>
  <si>
    <t>BAC</t>
  </si>
  <si>
    <t>Favoured of..</t>
  </si>
  <si>
    <t>FAV</t>
  </si>
  <si>
    <t>MOU</t>
  </si>
  <si>
    <t>LCL</t>
  </si>
  <si>
    <t>Low Cost Lineman</t>
  </si>
  <si>
    <t>Underworld Challenge</t>
  </si>
  <si>
    <t>..Chaos Undivided</t>
  </si>
  <si>
    <t>..Khorne</t>
  </si>
  <si>
    <t>..Nurgle</t>
  </si>
  <si>
    <t>..Tzeentch</t>
  </si>
  <si>
    <t>TZE</t>
  </si>
  <si>
    <t>..Slaanesh</t>
  </si>
  <si>
    <t>SLA</t>
  </si>
  <si>
    <t>Starplayer</t>
  </si>
  <si>
    <t>max number</t>
  </si>
  <si>
    <t>BG yes/no</t>
  </si>
  <si>
    <t>actual number</t>
  </si>
  <si>
    <t>number BG</t>
  </si>
  <si>
    <t>Big Guys</t>
  </si>
  <si>
    <t>Playertypes</t>
  </si>
  <si>
    <t>Player Value</t>
  </si>
  <si>
    <t>RR-Cost</t>
  </si>
  <si>
    <t>Dead/Fired Players</t>
  </si>
  <si>
    <t>number Star Plyr</t>
  </si>
  <si>
    <t>exceeded player slots</t>
  </si>
  <si>
    <t>BO01</t>
  </si>
  <si>
    <t>BO02</t>
  </si>
  <si>
    <t>BO03</t>
  </si>
  <si>
    <t>Goblin Bruiser Lineman</t>
  </si>
  <si>
    <t>Dodge, Right Stuff, Stunty, Thick Skull</t>
  </si>
  <si>
    <t>Brawler, Grab</t>
  </si>
  <si>
    <t>Trained Troll</t>
  </si>
  <si>
    <t>CC01</t>
  </si>
  <si>
    <t>CC02</t>
  </si>
  <si>
    <t>CC03</t>
  </si>
  <si>
    <t>CC04</t>
  </si>
  <si>
    <t>CC05</t>
  </si>
  <si>
    <t>Beastman Runner Lineman</t>
  </si>
  <si>
    <t>Chaos Troll</t>
  </si>
  <si>
    <t>Chaos Ogre</t>
  </si>
  <si>
    <t>Minotaur</t>
  </si>
  <si>
    <t>CR01</t>
  </si>
  <si>
    <t>CR02</t>
  </si>
  <si>
    <t>CR03</t>
  </si>
  <si>
    <t>CR04</t>
  </si>
  <si>
    <t>CR05</t>
  </si>
  <si>
    <t>CR06</t>
  </si>
  <si>
    <t>CR07</t>
  </si>
  <si>
    <t>CR08</t>
  </si>
  <si>
    <t>CR09</t>
  </si>
  <si>
    <t>CR10</t>
  </si>
  <si>
    <t>Renegade Human Lineman</t>
  </si>
  <si>
    <t>Renegade Human Thrower</t>
  </si>
  <si>
    <t>Renegade Goblin</t>
  </si>
  <si>
    <t>Renegade Orc</t>
  </si>
  <si>
    <t>Renegade Skaven</t>
  </si>
  <si>
    <t>Renegade Dark Elf</t>
  </si>
  <si>
    <t>Renegade Troll</t>
  </si>
  <si>
    <t>Renegade Ogre</t>
  </si>
  <si>
    <t>Renegade Minotaur</t>
  </si>
  <si>
    <t>Renegade Rat Ogre</t>
  </si>
  <si>
    <t>DE01</t>
  </si>
  <si>
    <t>DE02</t>
  </si>
  <si>
    <t>DE03</t>
  </si>
  <si>
    <t>DE04</t>
  </si>
  <si>
    <t>DE05</t>
  </si>
  <si>
    <t>Dark Elf Lineman</t>
  </si>
  <si>
    <t>Assassin</t>
  </si>
  <si>
    <t>Shadowing, Stab</t>
  </si>
  <si>
    <t>Witch Elf</t>
  </si>
  <si>
    <t>Add. Skills</t>
  </si>
  <si>
    <t>DW01</t>
  </si>
  <si>
    <t>DW02</t>
  </si>
  <si>
    <t>DW03</t>
  </si>
  <si>
    <t>DW04</t>
  </si>
  <si>
    <t>DW05</t>
  </si>
  <si>
    <t>Dwarf Blocker Lineman</t>
  </si>
  <si>
    <t>Block, Tackle, Thick Skull</t>
  </si>
  <si>
    <t>Sure Hands, Thick Skull</t>
  </si>
  <si>
    <t>Block, Thick Skull</t>
  </si>
  <si>
    <t>Troll Slayer</t>
  </si>
  <si>
    <t>Deathroller</t>
  </si>
  <si>
    <t>EU01</t>
  </si>
  <si>
    <t>EU02</t>
  </si>
  <si>
    <t>EU03</t>
  </si>
  <si>
    <t>EU04</t>
  </si>
  <si>
    <t>Catch, Nerves of Steel</t>
  </si>
  <si>
    <t>GO01</t>
  </si>
  <si>
    <t>GO02</t>
  </si>
  <si>
    <t>GO03</t>
  </si>
  <si>
    <t>GO04</t>
  </si>
  <si>
    <t>GO05</t>
  </si>
  <si>
    <t>GO06</t>
  </si>
  <si>
    <t>GO07</t>
  </si>
  <si>
    <t>GO08</t>
  </si>
  <si>
    <t>Goblin Lineman</t>
  </si>
  <si>
    <t>Bomma</t>
  </si>
  <si>
    <t>Looney</t>
  </si>
  <si>
    <t>Fanatic</t>
  </si>
  <si>
    <t>Pogoer</t>
  </si>
  <si>
    <t>'Ooligan</t>
  </si>
  <si>
    <t>Doom Diver</t>
  </si>
  <si>
    <t>HA01</t>
  </si>
  <si>
    <t>HA02</t>
  </si>
  <si>
    <t>HA03</t>
  </si>
  <si>
    <t>HA04</t>
  </si>
  <si>
    <t>Halfling Hopeful Lineman</t>
  </si>
  <si>
    <t>Halfling Hefty</t>
  </si>
  <si>
    <t>Halfling Catcher</t>
  </si>
  <si>
    <t>GPS</t>
  </si>
  <si>
    <t>GS</t>
  </si>
  <si>
    <t>AP</t>
  </si>
  <si>
    <t>AGP</t>
  </si>
  <si>
    <t>GMS</t>
  </si>
  <si>
    <t>MS</t>
  </si>
  <si>
    <t>AS</t>
  </si>
  <si>
    <t>GMP</t>
  </si>
  <si>
    <t>PS</t>
  </si>
  <si>
    <t>GP</t>
  </si>
  <si>
    <t>GM</t>
  </si>
  <si>
    <t>AGM</t>
  </si>
  <si>
    <t>SP</t>
  </si>
  <si>
    <t>Primary</t>
  </si>
  <si>
    <t>Secondary</t>
  </si>
  <si>
    <t>AMP</t>
  </si>
  <si>
    <t>AMS</t>
  </si>
  <si>
    <t>MPS</t>
  </si>
  <si>
    <t>Random</t>
  </si>
  <si>
    <t>Chosen</t>
  </si>
  <si>
    <t>-A-------</t>
  </si>
  <si>
    <t>Very Long Legs</t>
  </si>
  <si>
    <t>no skill</t>
  </si>
  <si>
    <t>-G-------</t>
  </si>
  <si>
    <t>-M-------</t>
  </si>
  <si>
    <t>-P-------</t>
  </si>
  <si>
    <t>-S-------</t>
  </si>
  <si>
    <t>Standard Skills &amp; Traits</t>
  </si>
  <si>
    <t>HU01</t>
  </si>
  <si>
    <t>HU02</t>
  </si>
  <si>
    <t>HU03</t>
  </si>
  <si>
    <t>HU04</t>
  </si>
  <si>
    <t>HU05</t>
  </si>
  <si>
    <t>HU06</t>
  </si>
  <si>
    <t>Human Lineman</t>
  </si>
  <si>
    <t>Pass, Sure Hands</t>
  </si>
  <si>
    <t>Catch, Dodge</t>
  </si>
  <si>
    <t>Halfling Hopeful</t>
  </si>
  <si>
    <t>IN01</t>
  </si>
  <si>
    <t>IN02</t>
  </si>
  <si>
    <t>IN03</t>
  </si>
  <si>
    <t>IN04</t>
  </si>
  <si>
    <t>IN05</t>
  </si>
  <si>
    <t>Imperial Retainer Lineman</t>
  </si>
  <si>
    <t>Imperial Thrower</t>
  </si>
  <si>
    <t>Pass, Runing Pass</t>
  </si>
  <si>
    <t>Noble Blitzer</t>
  </si>
  <si>
    <t>Block, Catch</t>
  </si>
  <si>
    <t>Stand Firm, Wrestle</t>
  </si>
  <si>
    <t>LM01</t>
  </si>
  <si>
    <t>LM02</t>
  </si>
  <si>
    <t>LM03</t>
  </si>
  <si>
    <t>LM04</t>
  </si>
  <si>
    <t>Skink Runner Lineman</t>
  </si>
  <si>
    <t>Chameleon Skink</t>
  </si>
  <si>
    <t>Saurus Blocker</t>
  </si>
  <si>
    <t>Kroxigor</t>
  </si>
  <si>
    <t>NH01</t>
  </si>
  <si>
    <t>NH02</t>
  </si>
  <si>
    <t>NH03</t>
  </si>
  <si>
    <t>NH04</t>
  </si>
  <si>
    <t>NH05</t>
  </si>
  <si>
    <t>Zombie Lineman</t>
  </si>
  <si>
    <t>Regeneration</t>
  </si>
  <si>
    <t>Ghoul Runner</t>
  </si>
  <si>
    <t>Wraith</t>
  </si>
  <si>
    <t>Werewolf</t>
  </si>
  <si>
    <t>Flesh Golem</t>
  </si>
  <si>
    <t>Regeneration, Stand Firm, Thick Skull</t>
  </si>
  <si>
    <t>NU01</t>
  </si>
  <si>
    <t>NU02</t>
  </si>
  <si>
    <t>NU03</t>
  </si>
  <si>
    <t>NU04</t>
  </si>
  <si>
    <t>Rotter Lineman</t>
  </si>
  <si>
    <t>Pestigor</t>
  </si>
  <si>
    <t>Horns, Plague Ridden, Regeneration</t>
  </si>
  <si>
    <t>Bloater</t>
  </si>
  <si>
    <t>Rotspawn</t>
  </si>
  <si>
    <t>OG01</t>
  </si>
  <si>
    <t>OG02</t>
  </si>
  <si>
    <t>OG03</t>
  </si>
  <si>
    <t>Gnoblar Lineman</t>
  </si>
  <si>
    <t>Ogre Runt Punter</t>
  </si>
  <si>
    <t>Ogre Blocker</t>
  </si>
  <si>
    <t>OR01</t>
  </si>
  <si>
    <t>OR02</t>
  </si>
  <si>
    <t>OR03</t>
  </si>
  <si>
    <t>OR04</t>
  </si>
  <si>
    <t>OR05</t>
  </si>
  <si>
    <t>OR06</t>
  </si>
  <si>
    <t>Orc Lineman</t>
  </si>
  <si>
    <t>Big Un Blocker</t>
  </si>
  <si>
    <t>Untrained Troll</t>
  </si>
  <si>
    <t>SU01</t>
  </si>
  <si>
    <t>SU02</t>
  </si>
  <si>
    <t>SU03</t>
  </si>
  <si>
    <t>SU04</t>
  </si>
  <si>
    <t>SU05</t>
  </si>
  <si>
    <t>Skeleton Lineman</t>
  </si>
  <si>
    <t>Regeneration, Thick Skull</t>
  </si>
  <si>
    <t>Wight Blitzer</t>
  </si>
  <si>
    <t>Block, Regeneration</t>
  </si>
  <si>
    <t>Mummy</t>
  </si>
  <si>
    <t>Mighty Blow (+1), Regeneration</t>
  </si>
  <si>
    <t>SK01</t>
  </si>
  <si>
    <t>SK02</t>
  </si>
  <si>
    <t>SK03</t>
  </si>
  <si>
    <t>SK04</t>
  </si>
  <si>
    <t>SK05</t>
  </si>
  <si>
    <t>Skaven Clanrat Lineman</t>
  </si>
  <si>
    <t>Rat Ogre</t>
  </si>
  <si>
    <t>SN01</t>
  </si>
  <si>
    <t>SN02</t>
  </si>
  <si>
    <t>SN03</t>
  </si>
  <si>
    <t>SN04</t>
  </si>
  <si>
    <t>SN05</t>
  </si>
  <si>
    <t>SN06</t>
  </si>
  <si>
    <t>Snotling Lineman</t>
  </si>
  <si>
    <t>Fungus Flinga</t>
  </si>
  <si>
    <t>Fun-hoppa</t>
  </si>
  <si>
    <t>Stilty Runna</t>
  </si>
  <si>
    <t>Pump Wagon</t>
  </si>
  <si>
    <t>UW</t>
  </si>
  <si>
    <t>UW01</t>
  </si>
  <si>
    <t>UW02</t>
  </si>
  <si>
    <t>UW03</t>
  </si>
  <si>
    <t>UW04</t>
  </si>
  <si>
    <t>UW05</t>
  </si>
  <si>
    <t>UW06</t>
  </si>
  <si>
    <t>UW07</t>
  </si>
  <si>
    <t>UW08</t>
  </si>
  <si>
    <t>Underworld Goblin Lineman</t>
  </si>
  <si>
    <t>Underworld Snotling</t>
  </si>
  <si>
    <t>Skaven Thrower</t>
  </si>
  <si>
    <t>Skaven Blitzer</t>
  </si>
  <si>
    <t>Underworld Troll</t>
  </si>
  <si>
    <t>Mutant Rat Ogre</t>
  </si>
  <si>
    <t>WE01</t>
  </si>
  <si>
    <t>WE02</t>
  </si>
  <si>
    <t>WE03</t>
  </si>
  <si>
    <t>WE04</t>
  </si>
  <si>
    <t>WE05</t>
  </si>
  <si>
    <t>Wood Elf Lineman</t>
  </si>
  <si>
    <t>Wardancer</t>
  </si>
  <si>
    <t>Loren Forest Treeman</t>
  </si>
  <si>
    <t>AM01</t>
  </si>
  <si>
    <t>AM02</t>
  </si>
  <si>
    <t>AM03</t>
  </si>
  <si>
    <t>AM04</t>
  </si>
  <si>
    <t>Block, Dodge, Leap</t>
  </si>
  <si>
    <t>CD01</t>
  </si>
  <si>
    <t>CD02</t>
  </si>
  <si>
    <t>CD03</t>
  </si>
  <si>
    <t>CD04</t>
  </si>
  <si>
    <t>Chaos Dwarf Blocker</t>
  </si>
  <si>
    <t>Sprint, Sure Feet, Thick Skull</t>
  </si>
  <si>
    <t>Enslaved Minotaur</t>
  </si>
  <si>
    <t>HE01</t>
  </si>
  <si>
    <t>HE02</t>
  </si>
  <si>
    <t>HE03</t>
  </si>
  <si>
    <t>HE04</t>
  </si>
  <si>
    <t>High Elf Lineman</t>
  </si>
  <si>
    <t>KH01</t>
  </si>
  <si>
    <t>KH02</t>
  </si>
  <si>
    <t>KH03</t>
  </si>
  <si>
    <t>KH04</t>
  </si>
  <si>
    <t>Anointed Thrower</t>
  </si>
  <si>
    <t>Anointed Blitzer</t>
  </si>
  <si>
    <t>Tomb Guardian</t>
  </si>
  <si>
    <t>SL01</t>
  </si>
  <si>
    <t>SL02</t>
  </si>
  <si>
    <t>SL03</t>
  </si>
  <si>
    <t>SL04</t>
  </si>
  <si>
    <t>Slann Lineman</t>
  </si>
  <si>
    <t>VA01</t>
  </si>
  <si>
    <t>VA02</t>
  </si>
  <si>
    <t>Thrall Lineman</t>
  </si>
  <si>
    <t>Missing players</t>
  </si>
  <si>
    <t>X</t>
  </si>
  <si>
    <t>Dark Elf Runner</t>
  </si>
  <si>
    <t>Dwarf Runner</t>
  </si>
  <si>
    <t>Dwarf Blitzer</t>
  </si>
  <si>
    <t>Elven Lineman</t>
  </si>
  <si>
    <t>Elven Thrower</t>
  </si>
  <si>
    <t>Elven Catcher</t>
  </si>
  <si>
    <t>Elven Blitzer</t>
  </si>
  <si>
    <t>Human Thrower</t>
  </si>
  <si>
    <t>Human Catcher</t>
  </si>
  <si>
    <t>Human Blitzer</t>
  </si>
  <si>
    <t>Orc Thrower</t>
  </si>
  <si>
    <t>Orc Blitzer</t>
  </si>
  <si>
    <t>Skaven Gutter Runner</t>
  </si>
  <si>
    <t>Wood Elf Thrower</t>
  </si>
  <si>
    <t>Wood Elf Catcher</t>
  </si>
  <si>
    <t>High Elf Thrower</t>
  </si>
  <si>
    <t>Slann Catcher</t>
  </si>
  <si>
    <t>Slann Blitzer</t>
  </si>
  <si>
    <t>Old World Ogre</t>
  </si>
  <si>
    <t>Underworld Clanrat</t>
  </si>
  <si>
    <t>Underworld Skaven Thrower</t>
  </si>
  <si>
    <t>Underworld Gutter Runner</t>
  </si>
  <si>
    <t>Underworld Skaven Blitzer</t>
  </si>
  <si>
    <t>The Black Gobbo</t>
  </si>
  <si>
    <t>Deeproot Strongbranch</t>
  </si>
  <si>
    <t>Eldril Sidewinder</t>
  </si>
  <si>
    <t>Glart Smashrip</t>
  </si>
  <si>
    <t>Gloriel Summerbloom</t>
  </si>
  <si>
    <t>Griff Oberwald</t>
  </si>
  <si>
    <t>Grim Ironjaw</t>
  </si>
  <si>
    <t>Hakflem Skuttlespike</t>
  </si>
  <si>
    <t>Helmut Wulf</t>
  </si>
  <si>
    <t>Lord Borak the Despoiler</t>
  </si>
  <si>
    <t>Mighty Zug</t>
  </si>
  <si>
    <t>Morg 'n' Thorg</t>
  </si>
  <si>
    <t>Roxana Darknail</t>
  </si>
  <si>
    <t>Rumbelow Sheepskin</t>
  </si>
  <si>
    <t>Skrull Halfheight</t>
  </si>
  <si>
    <t>Varag Ghoul-Chewer</t>
  </si>
  <si>
    <t>Grombrindal, the White Dwarf</t>
  </si>
  <si>
    <t>Willow Rosebark</t>
  </si>
  <si>
    <t>Zolcath the Zoat</t>
  </si>
  <si>
    <t>BLBUWC</t>
  </si>
  <si>
    <t>OWCWES</t>
  </si>
  <si>
    <t>G&amp;C: Grak</t>
  </si>
  <si>
    <t>G&amp;C: Crumbleberry</t>
  </si>
  <si>
    <t>Swift Twins: Lucien Swift</t>
  </si>
  <si>
    <t>Swift Twins: Valen Swift</t>
  </si>
  <si>
    <t>number SP</t>
  </si>
  <si>
    <t>Tier</t>
  </si>
  <si>
    <t>Old World Halfling Hopeful</t>
  </si>
  <si>
    <t>Basic Skills</t>
  </si>
  <si>
    <t>S1</t>
  </si>
  <si>
    <t>S2</t>
  </si>
  <si>
    <t>Team Race</t>
  </si>
  <si>
    <t>TV</t>
  </si>
  <si>
    <t>Page</t>
  </si>
  <si>
    <t>NO01</t>
  </si>
  <si>
    <t>NO02</t>
  </si>
  <si>
    <t>NO03</t>
  </si>
  <si>
    <t>NO04</t>
  </si>
  <si>
    <t>NO05</t>
  </si>
  <si>
    <t>NO06</t>
  </si>
  <si>
    <t>Yhetee</t>
  </si>
  <si>
    <t>Lasting Injuries
 (Characteristic Decreases)</t>
  </si>
  <si>
    <t>Stat Increases</t>
  </si>
  <si>
    <t>[L1] Catch</t>
  </si>
  <si>
    <t>[L1] Block</t>
  </si>
  <si>
    <t>[L1] Big Hand</t>
  </si>
  <si>
    <t>[L1] Accurate</t>
  </si>
  <si>
    <t>[L1] Arm Bar</t>
  </si>
  <si>
    <t>[L2] Diving Catch</t>
  </si>
  <si>
    <t>[L2] Dauntless</t>
  </si>
  <si>
    <t>[L2] Claws</t>
  </si>
  <si>
    <t>[L2] Cannoneer</t>
  </si>
  <si>
    <t>[L2] Brawler</t>
  </si>
  <si>
    <t>[L3] Diving Tackle</t>
  </si>
  <si>
    <t>[L3] Dirty Player (+1)</t>
  </si>
  <si>
    <t>[L3] Disturbing Presence</t>
  </si>
  <si>
    <t>[L3] Cloud Burster</t>
  </si>
  <si>
    <t>[L3] Break Tackle</t>
  </si>
  <si>
    <t>[L4] Dodge</t>
  </si>
  <si>
    <t>[L4] Fend</t>
  </si>
  <si>
    <t>[L4] Extra Arms</t>
  </si>
  <si>
    <t>[L4] Dump-off</t>
  </si>
  <si>
    <t>[L4] Grab</t>
  </si>
  <si>
    <t>[L5] Defensive</t>
  </si>
  <si>
    <t>[L5] Frenzy</t>
  </si>
  <si>
    <t>[L5] Foul Appearance</t>
  </si>
  <si>
    <t>[L5] Fumblerooskie</t>
  </si>
  <si>
    <t>[L5] Guard</t>
  </si>
  <si>
    <t>[L6] Jump Up</t>
  </si>
  <si>
    <t>[L6] Kick</t>
  </si>
  <si>
    <t>[L6] Horns</t>
  </si>
  <si>
    <t>[L6] Hail Mary Pass</t>
  </si>
  <si>
    <t>[L6] Juggernaut</t>
  </si>
  <si>
    <t>[H6] Sure Feet</t>
  </si>
  <si>
    <t>[H6] Wrestle</t>
  </si>
  <si>
    <t>[H6] Very Long Legs</t>
  </si>
  <si>
    <t>[H6] Safe Pass</t>
  </si>
  <si>
    <t>[H6] Thick Skull</t>
  </si>
  <si>
    <t>[H5] Sprint</t>
  </si>
  <si>
    <t>[H5] Tackle</t>
  </si>
  <si>
    <t>[H5] Two Heads</t>
  </si>
  <si>
    <t>[H5] Running Pass</t>
  </si>
  <si>
    <t>[H5] Strong Arm</t>
  </si>
  <si>
    <t>[H4] Sneaky Git</t>
  </si>
  <si>
    <t>[H4] Sure Hands</t>
  </si>
  <si>
    <t>[H4] Tentacles</t>
  </si>
  <si>
    <t>[H4] Pass</t>
  </si>
  <si>
    <t>[H4] Stand Firm</t>
  </si>
  <si>
    <t>[H3] Sidestep</t>
  </si>
  <si>
    <t>[H3] Strip Ball</t>
  </si>
  <si>
    <t>[H3] Prehensile Tail</t>
  </si>
  <si>
    <t>[H3] On the Ball</t>
  </si>
  <si>
    <t>[H3] Pile Diver</t>
  </si>
  <si>
    <t>[H2] Safe Pair of Hands</t>
  </si>
  <si>
    <t>[H2] Shadowing</t>
  </si>
  <si>
    <t>[H2] Mountrous Mouth</t>
  </si>
  <si>
    <t>[H2] Nerves of Steel</t>
  </si>
  <si>
    <t>[H2] Multiple Block</t>
  </si>
  <si>
    <t>[H1] Leap</t>
  </si>
  <si>
    <t>[H1] Pro</t>
  </si>
  <si>
    <t>[H1] Iron Hard Skin</t>
  </si>
  <si>
    <t>[H1] Leader</t>
  </si>
  <si>
    <t>[H1] Mighty Blow (+1)</t>
  </si>
  <si>
    <t>RELIABLE: If Deeproot fumbles a Throw Team-mate action, the player that was thrown will bounce as normal but will automatically land safely.</t>
  </si>
  <si>
    <t>MESMERIZING DANCE: Once per game, Eldril may re-roll a failed Agility test when attempting to use the Hypnotic Gaze trait.</t>
  </si>
  <si>
    <t>FRENZIED RUSH: Once per game, when Glart performs a Blitz action, he may gain the Frenzy skill. You must declare this special rule is being used when Glart is activated. Glart may not use the Grab skill during a turn in which he uses this special rule.</t>
  </si>
  <si>
    <t>SHOT TO NOTHING: Once per game, when Gloriel performs a Pass action, she may gain the Hail Mary Pass skill. You must declare this special rule is being used when Gloriel is activated.</t>
  </si>
  <si>
    <t>TWO FOR ONE (1): Grak and Crumbleberry must be hired as a pair and count as two Star Players.</t>
  </si>
  <si>
    <t>TWO FOR ONE (2): However, if either Grak or Crumbleberry is removed from play due to suffering a KO'd or Casualty! result on the Injury table, the other replaces the Loner (4+) trait with the Loner (2+) trait.</t>
  </si>
  <si>
    <t>CONSUMMATE PROFESSIONAL: Once per game, Griff may re-roll one dice that was rolled either as a single deice roll as part of a multiple dice roll or as part of a dice pool (this cannot be a dice that was rolled as part of an Armour, Injury or Casualty roll).</t>
  </si>
  <si>
    <t>SLAYER: Once per game, when an opposition player with a Strength characteristic of 5 or more is Knocked Down as the result of a Block action performed by Grim, you may apply an additional +1 modifier to either the Armour or Injury roll. This modifier may be applied after the roll has been made.</t>
  </si>
  <si>
    <t>WISDOM OF THE WHITE DWARF: Once per team turn, when one of Grombrindal's team-mates that is in the adjacent square is activated, that player gains either the Break Tackle, Dauntless, Mighty Blow (+1) or Sure Feet skill until the end of their activation.</t>
  </si>
  <si>
    <t>TREACHEROUS: Once per game, if team-mate in an adjacent square to Hakflem is in possession of the ball when Hakflem is activated, that player may immeddiately be Knocked Down and Hakflem may take possession of the ball. No Turnover is caused as result of using this special rule.</t>
  </si>
  <si>
    <t>OLD PRO: Once per game, Helmut may use his Pro skill to re-roll a single dice rolled as part of an Armour roll.</t>
  </si>
  <si>
    <t>INDOMITABLE: Once per game, when Karla sucessfully rolls to use her Dauntless skill, she may increase her Strength characteristic to double that of the nominated target of her Block action.</t>
  </si>
  <si>
    <t>LORD OF CHAOS: A team that includes Lord Borak gains an extra Team re-roll for the first half of the game. If this Team re-roll is not used during the first half, it may be carried over into the second half. However, if Lord Borak is removed from the play before this re-roll is used, it is lost.</t>
  </si>
  <si>
    <t>THE BALLISTA: Once per game, if Morg fails the Passing Ability test when making a Pass action or a Throw Team-mate action, you may re-roll the D6</t>
  </si>
  <si>
    <t>STRONG PASSING GAME: Once per game, after making a Passing Ability test to perform a Pass action, Skrull may choose to modify the dice roll ba adding his Strength characteristic to it.</t>
  </si>
  <si>
    <t>TWO FOR ONE (1): The Swift Twins must be hired as a pair and count as two Star Players.</t>
  </si>
  <si>
    <t>TWO FOR ONE (2): However, if either Lucien or Valen is removed from play due to suffering a KO'd or Casualty! result on the Injury table, the other replaces the Loner (4+) trait with the Loner (2+) trait.</t>
  </si>
  <si>
    <t>INDOMITABLE: Once per game, when Willow sucessfully rolls to use her Dauntless skill, she may increase her Strength characteristic to double that of the nominated target of her Block action.</t>
  </si>
  <si>
    <t>"EXCUSE ME, ARE YOU A ZOAT?": Once per game, when Zolcath is activated, he main gain the Hypnotic Gaze trait. You must declare this special rule is being used when Zolcath is activated.</t>
  </si>
  <si>
    <t xml:space="preserve">If a player on the opposing team with a Strength characteristic of 4 or less and that does not have the Regeneration or Stunty traits suffers a Casualty result of 15-16, DEAD, and if they cannot be saved by an apothecary, a new rookie Zombie Lineman player can be placed immediately in the Reserves box of this team’s dugout. </t>
  </si>
  <si>
    <t>A Master Chef costs only 100,000 gold pieces.</t>
  </si>
  <si>
    <t>MOUSSL</t>
  </si>
  <si>
    <t>BLBLCLOWC</t>
  </si>
  <si>
    <t>BACLCLUWC</t>
  </si>
  <si>
    <t>BACUWC</t>
  </si>
  <si>
    <t>Special Rules:</t>
  </si>
  <si>
    <t>Journeyman</t>
  </si>
  <si>
    <t>Skill Categories</t>
  </si>
  <si>
    <t>Agility</t>
  </si>
  <si>
    <t>General</t>
  </si>
  <si>
    <t>Mutations</t>
  </si>
  <si>
    <t>Passing</t>
  </si>
  <si>
    <t>Strength</t>
  </si>
  <si>
    <t>Disturbing Presence*</t>
  </si>
  <si>
    <t>Cloud Buster</t>
  </si>
  <si>
    <t>Frenzy*</t>
  </si>
  <si>
    <t>Foul Appearance*</t>
  </si>
  <si>
    <t>Monstrous Mouth</t>
  </si>
  <si>
    <t>Traits</t>
  </si>
  <si>
    <t>Animal Savagery*</t>
  </si>
  <si>
    <t>Decay*</t>
  </si>
  <si>
    <t>Projectile Vomit</t>
  </si>
  <si>
    <t>Swarming</t>
  </si>
  <si>
    <t>Animosity*</t>
  </si>
  <si>
    <t>Hypnotic Gaze</t>
  </si>
  <si>
    <t>Really Stupid*</t>
  </si>
  <si>
    <t>Swoop</t>
  </si>
  <si>
    <t>Always Hungry*</t>
  </si>
  <si>
    <t>Kick Team-mate</t>
  </si>
  <si>
    <t>Take Root*</t>
  </si>
  <si>
    <t>Ball &amp; Chain*</t>
  </si>
  <si>
    <t>Loner (X+)</t>
  </si>
  <si>
    <t>Right Stuff*</t>
  </si>
  <si>
    <t>Titchy*</t>
  </si>
  <si>
    <t>Bombardier</t>
  </si>
  <si>
    <t>No Hands*</t>
  </si>
  <si>
    <t>Secret Weapon*</t>
  </si>
  <si>
    <t>Timmm-ber!</t>
  </si>
  <si>
    <t>Bone Head*</t>
  </si>
  <si>
    <t>Stab</t>
  </si>
  <si>
    <t>Throw Team-mate</t>
  </si>
  <si>
    <t>Chainsaw*</t>
  </si>
  <si>
    <t>Pogo Stick</t>
  </si>
  <si>
    <t>Stunty*</t>
  </si>
  <si>
    <t>Skills</t>
  </si>
  <si>
    <t>Hobgoblin Lineman</t>
  </si>
  <si>
    <t>Cloud Burster, Pass, Safe Pass</t>
  </si>
  <si>
    <t>High Elf Catcher</t>
  </si>
  <si>
    <t>High Elf Blitzer</t>
  </si>
  <si>
    <t>Norse Berserker</t>
  </si>
  <si>
    <t>Pass, Regeneration, Sure Hands, Thick Skull</t>
  </si>
  <si>
    <t>Block, Regeneration, Thick Skull</t>
  </si>
  <si>
    <t>AGS</t>
  </si>
  <si>
    <t>BLBFAVWES</t>
  </si>
  <si>
    <t>Bull Centaur Blitzer</t>
  </si>
  <si>
    <t>Chosen Blocker</t>
  </si>
  <si>
    <t>Pri.</t>
  </si>
  <si>
    <t>Sec.</t>
  </si>
  <si>
    <t>ReRolls:</t>
  </si>
  <si>
    <t>Apo</t>
  </si>
  <si>
    <t>Yes</t>
  </si>
  <si>
    <t>No</t>
  </si>
  <si>
    <t>Apothecary:</t>
  </si>
  <si>
    <t>Tier:</t>
  </si>
  <si>
    <t>Special Team Rules:</t>
  </si>
  <si>
    <t>Trained Troll for Black Orcs</t>
  </si>
  <si>
    <t>* 0-1 Big Guys</t>
  </si>
  <si>
    <t>* 0-3 Big Guys</t>
  </si>
  <si>
    <t>Zombie Lineman °</t>
  </si>
  <si>
    <t>Ghoul Runner °</t>
  </si>
  <si>
    <t>Altern Forest Treeman °</t>
  </si>
  <si>
    <t>Team of Legend</t>
  </si>
  <si>
    <t>NAF Recommended Team</t>
  </si>
  <si>
    <t>BRUTAL BLOCK: Once per game, when Frank 'n' Stein makes an Injury roll against an opponent as a result of a Block action, he may choose to add an additional +1 modifier to the Injury roll. This modifier may be applied after the roll has been made.</t>
  </si>
  <si>
    <t>Frank 'n' Stein</t>
  </si>
  <si>
    <t>Wilhelm Chaney</t>
  </si>
  <si>
    <t>SAVAGE MAULING: Once per game, when Wilhelm makes an Injury roll against an opposing player, he may choose to re-roll the result.</t>
  </si>
  <si>
    <t>GHOSTLY FLAMES: Once per half, when Bryce makes the Chainsaw Attack Special action as part of a Blitz action, he may add +4 to the Armour roll against an opponent rather than +3.</t>
  </si>
  <si>
    <t>ASP</t>
  </si>
  <si>
    <t>Diving Catch, Pogo Stick, Very Long Legs</t>
  </si>
  <si>
    <t>Diving Tackle, Jump Up, Pogo Stick, Very Long Legs</t>
  </si>
  <si>
    <t>Pogo Stick, Very Long Legs</t>
  </si>
  <si>
    <t>Karla von Kill</t>
  </si>
  <si>
    <t>CRUSHING BLOW: Once per game, when an opposition player is Knocked Down as result of a Block action performed by Zug, you may apply an additional +1 modifier to the Armour roll. This modifier may be applied after the roll has been made.</t>
  </si>
  <si>
    <t>Halfling</t>
  </si>
  <si>
    <t>Akhorne the Squirrel</t>
  </si>
  <si>
    <t>BLIND RAGE: Akhorne may choose to re-roll the D6 when rolling for the Dauntless skill.</t>
  </si>
  <si>
    <t>Bodyguard</t>
  </si>
  <si>
    <t>Dark Elf Blitzer</t>
  </si>
  <si>
    <t>Ulfwerener</t>
  </si>
  <si>
    <t>Vampire Blitzer</t>
  </si>
  <si>
    <t>BURST OF SPEED: Once per game, Roxanna may attempt to Rush three times, rather than the usual two. You may declare you are using this special rule after Roxanna has rushed twice.</t>
  </si>
  <si>
    <t>RAM: Once per game, when an opposition player is Knocked Down as a result of a Block action performed by Rumbelow, you may apply +1 modifier to either Armour roll or Injury roll. This modifier may be applied after the roll has been made.</t>
  </si>
  <si>
    <t>SNEAKIEST OF THE LOT: If your team includes the Black Gobbo, you may commit two Foul actions per team turn, provided one of your Foul actions is committed by the Black Gobbo himself.</t>
  </si>
  <si>
    <t>CRUSHING BLOW: Once per game, when an opposition player is Knocked Down as result of a Block action performed by Varag, you may apply an additional +1 modifier to the Armour roll. This modifier may be applied after the roll has been made.</t>
  </si>
  <si>
    <t>Plague Ridden</t>
  </si>
  <si>
    <t>Block, Sidestep</t>
  </si>
  <si>
    <t>Animal Savagery*, Frenzy*, Loner (4+)*, Mighty Blow (+1), Prehensile Tail</t>
  </si>
  <si>
    <t>Animal Savagery*, Frenzy*, Horns, Loner (4+)*, Mighty Blow (+1), Thick Skull</t>
  </si>
  <si>
    <t>Animal Savagery*, Hypnotic Gaze, Regeneration</t>
  </si>
  <si>
    <t>Always Hungry*, Loner (3+)*, Mighty Blow (+1), Projectile Vomit, Really Stupid*, Regeneration, Throw Team-mate</t>
  </si>
  <si>
    <t>Always Hungry*, Loner (4+)*, Mighty Blow (+1), Projectile Vomit, Really Stupid*, Regeneration, Throw Team-mate</t>
  </si>
  <si>
    <t>Bone Head*, Loner (4+)*, Mighty Blow (+1), Thick Skull, Throw Team-mate</t>
  </si>
  <si>
    <t>Loner (4+)*, Frenzy*, Horns, Mighty Blow (+1), Thick Skull, Unchannelled Fury*</t>
  </si>
  <si>
    <t>Animosity (all)*, Pass, Safe Pair of Hands</t>
  </si>
  <si>
    <t>Animosity (all)*</t>
  </si>
  <si>
    <t>Dodge, Frenzy*, Jump Up</t>
  </si>
  <si>
    <t>Block, Dauntless, Frenzy*, Thick Skull</t>
  </si>
  <si>
    <t>Break Tackle, Dirty Player (+2), Juggernaut, Loner (5+), Mighty Blow (+1), No Hands*, Secret Weapon*, Stand Firm</t>
  </si>
  <si>
    <t>Bombardier, Dodge, Secret Weapon*, Stunty*</t>
  </si>
  <si>
    <t>Dodge, Right Stuff*, Stunty*</t>
  </si>
  <si>
    <t>Animosity (all)*, Dodge, Right Stuff*, Stunty*</t>
  </si>
  <si>
    <t>Chainsaw*, Secret Weapon*, Stunty*</t>
  </si>
  <si>
    <t>Ball &amp; Chain*, No Hands*, Secret Weapon*, Stunty*</t>
  </si>
  <si>
    <t>Dodge, Pogo Stick, Stunty*</t>
  </si>
  <si>
    <t>Dirty Player (+1), Disturbing Presence*, Dodge, Right Stuff*, Stunty*</t>
  </si>
  <si>
    <t>Right Stuff*, Stunty*, Swoop</t>
  </si>
  <si>
    <t>Dodge, Fend, Stunty*</t>
  </si>
  <si>
    <t>Catch, Dodge, Right Stuff*, Sprint, Stunty*</t>
  </si>
  <si>
    <t>Mighty Blow (+1), Stand Firm, Strong Arm, Take Root*, Thick Skull, Throw Team-mate, Timmm-ber!</t>
  </si>
  <si>
    <t>Dodge, Stunty*</t>
  </si>
  <si>
    <t>Dodge, On the Ball, Shadowing, Stunty*</t>
  </si>
  <si>
    <t>Bone Head*, Loner (4+)*, Mighty Blow (+1), Prehensile Tail, Thick Skull</t>
  </si>
  <si>
    <t>Block, Foul Appearance*, No Hands*, Regeneration, Sidestep</t>
  </si>
  <si>
    <t>Claws, Frenzy*, Regeneration</t>
  </si>
  <si>
    <t>Decay*, Plague Ridden</t>
  </si>
  <si>
    <t>Disturbing Presence*, Foul Appearance*, Plague Ridden, Regeneration</t>
  </si>
  <si>
    <t>Disturbing Presence*, Foul Appearance*, Loner (4+)*, Mighty Blow (+1), Plague Ridden, Really Stupid*, Regeneration, Tentacles</t>
  </si>
  <si>
    <t>Dodge, Right Stuff*, Sidestep, Stunty*, Titchy*</t>
  </si>
  <si>
    <t>Bone Head*, Kick Team-mate, Mighty Blow (+1), Thick Skull</t>
  </si>
  <si>
    <t>Bone Head*, Mighty Blow (+1), Thick Skull, Throw Team-mate</t>
  </si>
  <si>
    <t>Animosity (DW, HA)*, Pass, Sure Hands</t>
  </si>
  <si>
    <t>Animosity (DW, HA)*, Catch, Dodge</t>
  </si>
  <si>
    <t>Animosity (DW, HA)*, Block</t>
  </si>
  <si>
    <t>Arm Bar, Brawler, Loner (3+)*, Thick Skull</t>
  </si>
  <si>
    <t>Loner (3+)*, Sure Hands, Thick Skull</t>
  </si>
  <si>
    <t>Block, Loner (3+)*, Thick Skull</t>
  </si>
  <si>
    <t>Block, Dauntless, Frenzy*, Loner (3+)*, Thick Skull</t>
  </si>
  <si>
    <t>Animosity (DW, HU)*, Dodge, Right Stuff*, Stunty*</t>
  </si>
  <si>
    <t>Loner (4+)*, Mighty Blow (+1), Stand Firm, Strong Arm, Take Root*, Thick Skull, Throw Team-mate, Timmm-ber!</t>
  </si>
  <si>
    <t>Animosity (LM)*</t>
  </si>
  <si>
    <t>Animosity (all)*, Pass, Sure Hands</t>
  </si>
  <si>
    <t>Animosity (all)*, Block</t>
  </si>
  <si>
    <t>Animosity (BU)*</t>
  </si>
  <si>
    <t>Dodge, Right Stuff*, Sidestep, Stunty*, Swarming, Titchy*</t>
  </si>
  <si>
    <t>Bombardier, Dodge, Right Stuff*, Secret Weapon*, Sidestep, Stunty*</t>
  </si>
  <si>
    <t>Dodge, Pogo Stick, Right Stuff*, Sidestep, Stunty*</t>
  </si>
  <si>
    <t>Dodge, Right Stuff*, Sidestep, Sprint, Stunty*</t>
  </si>
  <si>
    <t>Dirty Player (+1), Juggernaut, Mighty Blow (+1), Really Stupid*, Secret Weapon*, Stand Firm</t>
  </si>
  <si>
    <t>Animosity (GO)*</t>
  </si>
  <si>
    <t>Animosity (GO)*, Pass, Sure Hands</t>
  </si>
  <si>
    <t>Animosity (GO)*, Dodge</t>
  </si>
  <si>
    <t>Animosity (GO)*, Block</t>
  </si>
  <si>
    <t>Loner (4+)*, Mighty Blow (+1), Stand Firm, Strong Arm, Take Root*, Thick Skull, Throw Team-mate</t>
  </si>
  <si>
    <t>Decay*, Regeneration</t>
  </si>
  <si>
    <t>Block, Frenzy*, Jump Up</t>
  </si>
  <si>
    <t>Claws, Disturbing Presence*, Frenzy*, Loner (4+)*, Unchannelled Fury*</t>
  </si>
  <si>
    <t>Claws, Dauntless, Dodge, Frenzy*, Jump Up, Loner (4+)*, No Hands*, Sidestep, Stunty*, Titchy*</t>
  </si>
  <si>
    <t>Chainsaw*, Loner (4+)*, Regeneration, Secret Weapon*, Stand Firm, Thick Skull</t>
  </si>
  <si>
    <t>Block, Loner (4+)*, Mighty Blow (+2), Stand Firm, Strong Arm, Thick Skull, Throw Team-mate, Timmm-ber!</t>
  </si>
  <si>
    <t>Catch, Dodge, Hypnotic Gaze, Loner (4+)*, Nerves of Steel, On the Ball</t>
  </si>
  <si>
    <t>Break Tackle, Loner (4+)*, Mighty Blow (+1), Regeneration, Stand Firm, Thick Skull</t>
  </si>
  <si>
    <t>Block, Claws, Grab, Juggernaut, Loner (4+)*, Stand Firm</t>
  </si>
  <si>
    <t>Accurate, Dodge, Loner (3+)*, Pass, Sidestep, Sure Hands</t>
  </si>
  <si>
    <t>Bone Head*, Kick Team-mate, Loner (4+)*, Mighty Blow (+1), Thick Skull</t>
  </si>
  <si>
    <t>Dodge, Loner (4+)*, Right Stuff*, Stunty*, Sure Hands</t>
  </si>
  <si>
    <t>Disturbing Presence*, Dodge, Foul Appearance*, Jump Up, Loner (4+)*, No Hands*, Regeneration, Shadowing, Sidestep</t>
  </si>
  <si>
    <t>Block, Dodge, Fend, Loner (3+)*, Sprint, Sure Feet</t>
  </si>
  <si>
    <t>Block, Dauntless, Frenzy*, Loner (4+)*, Multiple Block, Thick Skull</t>
  </si>
  <si>
    <t>Block, Dauntless, Loner (4+)*, Mighty Blow (+1), Stand Firm, Thick Skull</t>
  </si>
  <si>
    <t>Dodge, Extra Arms, Loner (4+)*, Prehensile Tail, Two Heads</t>
  </si>
  <si>
    <t>Chainsaw*, Loner (4+)*, Pro, Secret Weapon*, Stand Firm</t>
  </si>
  <si>
    <t>Block, Dauntless, Dodge, Jump Up, Loner (4+)*</t>
  </si>
  <si>
    <t>Block, Dirty Player (+2), Loner (4+)*, Mighty Blow (+1), Sneaky Git</t>
  </si>
  <si>
    <t>Block, Loner (4+)*, Mighty Blow (+1)</t>
  </si>
  <si>
    <t>Block, Loner (4+)*, Mighty Blow (+2), Thick Skull, Throw Team-mate</t>
  </si>
  <si>
    <t>Dodge, Frenzy*, Jump Up, Juggernaut, Leap, Loner (4+)*</t>
  </si>
  <si>
    <t>Block, Horns, Juggernaut, Loner (4+)*, No Hands*, Tackle, Thick Skull</t>
  </si>
  <si>
    <t>Accurate, Loner (4+)*, Nerves of Steel, Pass, Regeneration, Sure Hands, Thick Skull</t>
  </si>
  <si>
    <t>Block, Loner (4+)*, Mighty Blow (+1), Tackle</t>
  </si>
  <si>
    <t>Accurate, Loner (4+)*, Nerves of Steel, Pass, Safe Pass, Sure Hands</t>
  </si>
  <si>
    <t>Bombardier, Disturbing Presence*, Dodge, Loner (3+)*, Sidestep, Sneaky Git, Stab, Stunty*</t>
  </si>
  <si>
    <t>Block, Jump Up, Loner (4+)*, Mighty Blow (+1), Thick Skull</t>
  </si>
  <si>
    <t>Catch, Claws, Frenzy*, Loner (4+)*, Regeneration, Wrestle</t>
  </si>
  <si>
    <t>Dauntless, Loner (4+)*, Sidestep, Thick Skull</t>
  </si>
  <si>
    <t>Unchannelled Fury*</t>
  </si>
  <si>
    <t>Tournament Team Value</t>
  </si>
  <si>
    <t xml:space="preserve">Treasury:  </t>
  </si>
  <si>
    <t>AV +1</t>
  </si>
  <si>
    <t>MA +1</t>
  </si>
  <si>
    <t>PA +1</t>
  </si>
  <si>
    <t>AG +1</t>
  </si>
  <si>
    <t>ST +1</t>
  </si>
  <si>
    <t>Budget</t>
  </si>
  <si>
    <t># Sec.</t>
  </si>
  <si>
    <t>--&gt;</t>
  </si>
  <si>
    <t>&lt;---</t>
  </si>
  <si>
    <t>x 50.000/100.000 gp =</t>
  </si>
  <si>
    <t>Apothecaries</t>
  </si>
  <si>
    <t>Bloodweiser Kegs</t>
  </si>
  <si>
    <t>Bribes</t>
  </si>
  <si>
    <t>Halfling Master Chef</t>
  </si>
  <si>
    <t xml:space="preserve">Unless this team is a Vampire team, this team may not hire an Apothecary. This team is allowed to induce a Morturary Assistant. </t>
  </si>
  <si>
    <t>Money left for 
Upgrades:</t>
  </si>
  <si>
    <t>StatUp</t>
  </si>
  <si>
    <t>Player Position</t>
  </si>
  <si>
    <t>Biased Ref</t>
  </si>
  <si>
    <t>Tomb Kings</t>
  </si>
  <si>
    <t>TK</t>
  </si>
  <si>
    <t>Khorne</t>
  </si>
  <si>
    <t>TK01</t>
  </si>
  <si>
    <t>TK02</t>
  </si>
  <si>
    <t>TK03</t>
  </si>
  <si>
    <t>TK04</t>
  </si>
  <si>
    <t>Bloodborn Marauder</t>
  </si>
  <si>
    <t>Khorngor</t>
  </si>
  <si>
    <t>Horns, Juggernaut</t>
  </si>
  <si>
    <t>Bloodseeker</t>
  </si>
  <si>
    <t>Bloodspawn</t>
  </si>
  <si>
    <t>Claws, Frenzy*, Loner (4+)*, Mighty Blow (+1), Unchanneled Fury*</t>
  </si>
  <si>
    <t>Team 1</t>
  </si>
  <si>
    <t>Primary Skills</t>
  </si>
  <si>
    <t>Star Player</t>
  </si>
  <si>
    <t>Select Team</t>
  </si>
  <si>
    <t>Team Building</t>
  </si>
  <si>
    <t>Permitted inducements are:</t>
  </si>
  <si>
    <t>• Halfling Master Chef 0-1</t>
  </si>
  <si>
    <t>• Bloodweiser Kegs 0-2</t>
  </si>
  <si>
    <t>• Bribes 0-3 (Bribes cannot be taken in a Team with a Player that starts with, or is given the Sneaky Git Skill. Bribes gained from the ‘Get The Ref’ kick-off result are still allowed.)</t>
  </si>
  <si>
    <t>• Wandering Apothecaries 0-2</t>
  </si>
  <si>
    <t>• Mortuary Assistant 0-1</t>
  </si>
  <si>
    <t>• Plague Doctor 0-1</t>
  </si>
  <si>
    <t>All other inducements including Star Players are not permitted unless indicated by the Tier Restrictions below.</t>
  </si>
  <si>
    <t>All skills must be chosen and cannot be random.</t>
  </si>
  <si>
    <t>Squads</t>
  </si>
  <si>
    <t>Star Players</t>
  </si>
  <si>
    <t>• Griff Oberwald, Morg’N’Thorg: 3 Primary Skills</t>
  </si>
  <si>
    <t>If the Team does not have enough skills available in the chosen skill pack to pay the above skill cost, that Star Player cannot be taken.</t>
  </si>
  <si>
    <t>Each Star Player may only be included once in a Squad.</t>
  </si>
  <si>
    <t>Tier 1</t>
  </si>
  <si>
    <t>A. 6 Primary Skills</t>
  </si>
  <si>
    <t>B. 4 Primary Skills + 1 Secondary Skills</t>
  </si>
  <si>
    <t>C. 3 Primary Skills + Access to 1 Star Player</t>
  </si>
  <si>
    <t>Tier 2</t>
  </si>
  <si>
    <t>A. 7 Primary Skills</t>
  </si>
  <si>
    <t>B. 5 Primary Skills + 1 Secondary Skill</t>
  </si>
  <si>
    <t>C. 4 Primary Skills + Access to 1 Star Player</t>
  </si>
  <si>
    <t>Tier 3</t>
  </si>
  <si>
    <t>A. 7 Primary Skills + 1 Secondary Skill</t>
  </si>
  <si>
    <t>B. 5 Primary Skills + 2 Secondary Skills</t>
  </si>
  <si>
    <t>C. 5 Primary Skills + Access to 1 Star Player</t>
  </si>
  <si>
    <t>Tier 4</t>
  </si>
  <si>
    <t>A. 8 Primary Skills + 1 Secondary Skill</t>
  </si>
  <si>
    <t>B. 6 Primary Skills + 2 Secondary Skill</t>
  </si>
  <si>
    <t>C. 6 Primary Skills + Access to 1 Star Player</t>
  </si>
  <si>
    <t>D. 3 Primary Skills + Access to 2 Star Players</t>
  </si>
  <si>
    <t>Tier 5</t>
  </si>
  <si>
    <t>Goblin, Halfling, Ogre, Snotling:</t>
  </si>
  <si>
    <t>A. 8 Primary Skills + 2 Secondary Skills</t>
  </si>
  <si>
    <t>B. 6 Primary Skills + 3 Secondary Skill</t>
  </si>
  <si>
    <t>Team Tiers</t>
  </si>
  <si>
    <t>Cost</t>
  </si>
  <si>
    <t>6 Primary Skills</t>
  </si>
  <si>
    <t>4 Primary Skills + 1 Secondary Skill</t>
  </si>
  <si>
    <t>3 Primary Skills + 1 Star Player</t>
  </si>
  <si>
    <t>7 Primary Skills</t>
  </si>
  <si>
    <t>5 Primary Skills + 1 Secondary Skill</t>
  </si>
  <si>
    <t>4 Primary Skills + 1 Star Player</t>
  </si>
  <si>
    <t>7 Primary Skills + 1 Secondary Skill</t>
  </si>
  <si>
    <t>5 Primary Skills + 2 Secondary Skills</t>
  </si>
  <si>
    <t>5 Primary Skills + 1 Star Player</t>
  </si>
  <si>
    <t>6 Primary Skills + 2 Secondary Skills</t>
  </si>
  <si>
    <t>6 Primary Skills + 1 Star Player</t>
  </si>
  <si>
    <t>8 Primary Skills + 1 Secondary Skill</t>
  </si>
  <si>
    <t>8 Primary Skills + 2 Secondary Skills</t>
  </si>
  <si>
    <t>6 Primary Skills + 3 Secondary Skills</t>
  </si>
  <si>
    <t>Skill Pack</t>
  </si>
  <si>
    <t xml:space="preserve"> </t>
  </si>
  <si>
    <t>Selected Skills</t>
  </si>
  <si>
    <t>3 Primary Skills + 2 Star Players</t>
  </si>
  <si>
    <t>[T1] Skill access and basic list from Player List</t>
  </si>
  <si>
    <t>[T2] Skill list address depending on Access [T1]</t>
  </si>
  <si>
    <t>Team ID</t>
  </si>
  <si>
    <t>Spec. Rule</t>
  </si>
  <si>
    <t>Special Rule</t>
  </si>
  <si>
    <t>Player types</t>
  </si>
  <si>
    <t>Max Big Guys</t>
  </si>
  <si>
    <t>[T3] Skill list after user selection</t>
  </si>
  <si>
    <t>First</t>
  </si>
  <si>
    <t>Second</t>
  </si>
  <si>
    <t>[T4] Team info</t>
  </si>
  <si>
    <t>Max number</t>
  </si>
  <si>
    <t>Player type</t>
  </si>
  <si>
    <t>Player name</t>
  </si>
  <si>
    <t>Rostered</t>
  </si>
  <si>
    <t>[T5] Roster info</t>
  </si>
  <si>
    <t>Specific</t>
  </si>
  <si>
    <t>Master Chef</t>
  </si>
  <si>
    <t>Bribe</t>
  </si>
  <si>
    <t>First Upgrade</t>
  </si>
  <si>
    <t>Second Upgrade</t>
  </si>
  <si>
    <t>Secondary Skill</t>
  </si>
  <si>
    <t>Primary Skill</t>
  </si>
  <si>
    <t>Upgrade PD</t>
  </si>
  <si>
    <t>[T6] Skills</t>
  </si>
  <si>
    <t xml:space="preserve">Stacked </t>
  </si>
  <si>
    <t>Secondary or Stacked Skills</t>
  </si>
  <si>
    <t>Selected</t>
  </si>
  <si>
    <t>Check</t>
  </si>
  <si>
    <t>Quantitity check</t>
  </si>
  <si>
    <t>Duplicity check</t>
  </si>
  <si>
    <t>Number BGs</t>
  </si>
  <si>
    <t>Maximum</t>
  </si>
  <si>
    <t>Stats</t>
  </si>
  <si>
    <t>Skill Pack:</t>
  </si>
  <si>
    <t>Stat Increase</t>
  </si>
  <si>
    <t>[T7] Skills</t>
  </si>
  <si>
    <t>Badlands Brawl
Favoured of...
Worlds Edge Superleague</t>
  </si>
  <si>
    <t>Favoured of Nurgle</t>
  </si>
  <si>
    <t>Masters of Undead
Sylvanian Spotlight</t>
  </si>
  <si>
    <t>Old World Classic
Worlds Edge Superleague</t>
  </si>
  <si>
    <t>This team may not hire an Apothecary, but is allowed to induce a Plague Doctor.</t>
  </si>
  <si>
    <t>Once per game, when rolling on the Argue the Call table, you may re-roll a roll of a natural 1. Bribes are 50,000 gold pieces each.</t>
  </si>
  <si>
    <t>In league play (but not in exhibition play), when calculating the Current Value of any permanently hired Lineman players on a team with this special rule, the Hiring Fee of that player is not included.</t>
  </si>
  <si>
    <t>Kreek Rustgouger</t>
  </si>
  <si>
    <t>Max Spleenripper</t>
  </si>
  <si>
    <t>Chainsaw, Loner (4+), Secret Weapon</t>
  </si>
  <si>
    <t xml:space="preserve">MAXIMUM CARNAGE: Once per game, after Max performs a chainsaw attack special action he may immediately perform another Chainsaw attack special action that targets a different opposition player. </t>
  </si>
  <si>
    <t>I'LL BE BACK!: The first time in a game that Kreek Rustgouger would be Sent-off as per the Secret Weapon trait, he is not Sent-off and instead may continue as part of the game.</t>
  </si>
  <si>
    <t>Ball and Chain, Loner (4+), Mighty Blow (+1), No Hands, Prehensile Tail, Secret Weapon</t>
  </si>
  <si>
    <t>INCORPOREAL: Once per game, after making an Agility test to dodge, Gretchen may choose to modify the dice roll by adding her Strength characteristic to it.</t>
  </si>
  <si>
    <t>Gretchen Wächter</t>
  </si>
  <si>
    <t>ID</t>
  </si>
  <si>
    <t>Select Skill Pack</t>
  </si>
  <si>
    <t>Qty</t>
  </si>
  <si>
    <t>List of available skills.</t>
  </si>
  <si>
    <t>List of available rosters</t>
  </si>
  <si>
    <t>Special Star Player Ability:</t>
  </si>
  <si>
    <t>Select Star Player</t>
  </si>
  <si>
    <t>Builder version:</t>
  </si>
  <si>
    <t>Team 2</t>
  </si>
  <si>
    <t>Team 3</t>
  </si>
  <si>
    <r>
      <rPr>
        <b/>
        <u/>
        <sz val="11"/>
        <rFont val="Calibri"/>
        <family val="2"/>
        <scheme val="minor"/>
      </rPr>
      <t>Instructions:</t>
    </r>
    <r>
      <rPr>
        <sz val="11"/>
        <rFont val="Calibri"/>
        <family val="2"/>
        <scheme val="minor"/>
      </rPr>
      <t xml:space="preserve">
Enter your squad name on this page.
When entering your roster on the individual Team pages, first select a Race, then the Skill Pack.</t>
    </r>
  </si>
  <si>
    <t>Squad Name:</t>
  </si>
  <si>
    <t>Enter Squad Name</t>
  </si>
  <si>
    <t>NAF ID</t>
  </si>
  <si>
    <t>NAF Number</t>
  </si>
  <si>
    <t>Treasury</t>
  </si>
  <si>
    <t>Star fee</t>
  </si>
  <si>
    <t>P+SF&gt;Pmax+Smax</t>
  </si>
  <si>
    <t>P+SF=Pmax+Smax;SS&gt;0</t>
  </si>
  <si>
    <t>Sec+Sta&gt;Smax</t>
  </si>
  <si>
    <t>Should two Players with the same Star Player face each other, the wizards of the Maltese islands will clone that Star Player such that both Coaches can make use of the Star Player.</t>
  </si>
  <si>
    <t>Team building rules</t>
  </si>
  <si>
    <r>
      <rPr>
        <b/>
        <u/>
        <sz val="11"/>
        <rFont val="Calibri"/>
        <family val="2"/>
        <scheme val="minor"/>
      </rPr>
      <t>Available pages</t>
    </r>
    <r>
      <rPr>
        <u/>
        <sz val="11"/>
        <rFont val="Calibri"/>
        <family val="2"/>
        <scheme val="minor"/>
      </rPr>
      <t xml:space="preserve"> (click to access)</t>
    </r>
    <r>
      <rPr>
        <b/>
        <u/>
        <sz val="11"/>
        <rFont val="Calibri"/>
        <family val="2"/>
        <scheme val="minor"/>
      </rPr>
      <t>:</t>
    </r>
    <r>
      <rPr>
        <sz val="11"/>
        <rFont val="Calibri"/>
        <family val="2"/>
        <scheme val="minor"/>
      </rPr>
      <t xml:space="preserve">
</t>
    </r>
  </si>
  <si>
    <t>Date</t>
  </si>
  <si>
    <t>Comments</t>
  </si>
  <si>
    <t>30.08.2022</t>
  </si>
  <si>
    <t>Each team is permitted to stack 2 Primary Skills on a maximum of 1 player at the cost of both 1 Primary Skill and 1 Secondary Skill. If your team and skill set do not allow you to give Secondary Skills to your players, you’re not allowed to stack skills.</t>
  </si>
  <si>
    <t>• Riotous Rookies 0-1</t>
  </si>
  <si>
    <t>Chaos Dwarf, Dark Elf, Dwarf, Human, Lizardmen, Orcs, Shambling Undead, Wood Elf:</t>
  </si>
  <si>
    <t>Amazon, Elven Union, High Elf, Necromantic Horror, Norse, Skaven, Slann, Underworld Denizens:</t>
  </si>
  <si>
    <t>Black Orc, Chaos Chosen, Imperial Nobility, Khorne, Nurgle, Tomb Kings:</t>
  </si>
  <si>
    <t>Chaos Renegades, Old World Alliance, Vampire:</t>
  </si>
  <si>
    <t>A player who is assigned a Secondary Skill may choose to take a Primary Skill instead.</t>
  </si>
  <si>
    <t>Each team has a total of 1,150,000 gp to spend on roster creation and must hire a minimum of 11 players. Any unspent cash at roster creation will be lost and all teams will be considered having the same Current Team Value (CTV) for the purpose of inducements and prayers to Nuffle.</t>
  </si>
  <si>
    <t>Cash given is also used to buy rerolls, assistant coaches, cheerleaders, apothecary and so on.</t>
  </si>
  <si>
    <t>Teams will consist of a minimum of 11 players and a maximum of 16 players, including star players.</t>
  </si>
  <si>
    <t>Star players can only be induced after 11 regular players have already been rostered.</t>
  </si>
  <si>
    <t>If both opposing teams are fielding the same star player in a game, both star players are allowed to play.</t>
  </si>
  <si>
    <t>Each Squad is to be composed of 6 or 7 teams with different races.</t>
  </si>
  <si>
    <t>Star Players can only be induced after 11 Players have already been rostered.</t>
  </si>
  <si>
    <t>All Star Players up to but not including Spike 15 are allowed.</t>
  </si>
  <si>
    <t>If you hire one of the following starplayers, you’ll have to reduce the respective number of skills from your skill budget:</t>
  </si>
  <si>
    <t>• Deeproot Strongbranch, Hakflem Skuttlespike, Kreek Rustgouger,Bomber Dribblesnot: 2 Primary Skills</t>
  </si>
  <si>
    <t>Teams are separated into 1 of 5 Tiers and offered Tier-specific skill packs (labelled A to D).</t>
  </si>
  <si>
    <t>• Wilhelm Chaney: 1 Primary Skill</t>
  </si>
  <si>
    <t>Eagle Warrior Linewoman</t>
  </si>
  <si>
    <t>Python Warrior Thrower</t>
  </si>
  <si>
    <t>Piranha Warrior Blitzer</t>
  </si>
  <si>
    <t>Jaguar Warrior Blocker</t>
  </si>
  <si>
    <t>Defensive, Dodge</t>
  </si>
  <si>
    <t>Dodge, Hit and Run, Jump Up</t>
  </si>
  <si>
    <t>Dodge, On the Ball, Pass, Safe Pass</t>
  </si>
  <si>
    <t>Norse Raider Lineman</t>
  </si>
  <si>
    <t>Block, Drunkard, Thick Skull</t>
  </si>
  <si>
    <t>APS</t>
  </si>
  <si>
    <t>Beer Boar</t>
  </si>
  <si>
    <t>Dodge, No Hands, Pick-me-up, Stunty, Titchy</t>
  </si>
  <si>
    <t>Valkyrie</t>
  </si>
  <si>
    <t>Catch, Dauntless, Pass, Strip Ball</t>
  </si>
  <si>
    <t>Fungus the Loon</t>
  </si>
  <si>
    <t>Ball and Chain, Mighty Blow (+1), Loner (4+)*, No Hands, Secret Weapon*, Stunty</t>
  </si>
  <si>
    <t>WHIRLING DERVISH!: Once per activation, Fungus may re-roll the D6 when determining which direction he moves in.</t>
  </si>
  <si>
    <t>Bomber Dribblesnot</t>
  </si>
  <si>
    <t>Accurate, Bombardier, Dodge, Loner (4+)*, Right Stuff, Secret Weapon*, Stunty</t>
  </si>
  <si>
    <t>KABOOM!: Once per game, if an opponent player catches a Bomb thrown by Bomber, you can choose to have it explode immediately rather than rolling to see if the player can throw it again.</t>
  </si>
  <si>
    <t>Barik Farblast</t>
  </si>
  <si>
    <t>Hail Mary Pass, Loner (4+)*, Pass, Secret Weapon*, Cannoneer, Sure Hands, Thick Skull</t>
  </si>
  <si>
    <t>Bryce 'The Slice' Cambuel</t>
  </si>
  <si>
    <t>Grashnak Blackhoof</t>
  </si>
  <si>
    <t>Frenzy*, Horns, Loner (4+)*, Mighty Blow (+1), Thick Skull, Unchannelled Fury*</t>
  </si>
  <si>
    <t>GORED BY THE BULL: Once per game, when Grashnak performs a blitz action, Grashnak may roll one additional Block dice against the opposition player, regardless of the opposition player's strenght, to a maximum of three block dice. If Grashnak performs a second Block action due to the Frenzy skill, this second Block action will also benefit from this rule.</t>
  </si>
  <si>
    <t>BLAST IT!: Once per game, when Barik Farblast uses the Hail Mary skill, he may reroll any scatter results for determining where the ball lands, and any friendly player attempting to catch the ball gains an additional +1 modifier to the roll.</t>
  </si>
  <si>
    <t>Scyla Anfingrimm</t>
  </si>
  <si>
    <t>Skrorg Snowpelt</t>
  </si>
  <si>
    <t>Claws, Frenzy*, Loner (4+), Mighty Blow (+1), Prehensile Tail, Thick Skull, Unchannelled Fury*</t>
  </si>
  <si>
    <t>FURY OF THE BLOOD GOD: Once per game, if Scyla rolls a 1 for the Unchannelled Fury roll after declaring a Block action, instead of applying the usual effects of Unchannelled Fury, Scyla may perform two Block action instead.</t>
  </si>
  <si>
    <t>NUR</t>
  </si>
  <si>
    <t>KHO</t>
  </si>
  <si>
    <t>CHA</t>
  </si>
  <si>
    <t>FAVKHO</t>
  </si>
  <si>
    <t>FAVNUR</t>
  </si>
  <si>
    <t>Claws, Disturbing Presence, Juggernaut, Loner (4+)*, Mighty Blow (+1)</t>
  </si>
  <si>
    <t>PUMP UP THE CROWD: Once per game, when Skrorg causes an opposition player to be removed as a casualty as the result of a Block action, Skrorg’s controlling coach gains one team re-roll. If this re-roll has not been used by the end of the drive, it is lost.</t>
  </si>
  <si>
    <t>Thorsson Stoutmead</t>
  </si>
  <si>
    <t>Block, Drunkard*, Loner (4+)*, Thick Skull</t>
  </si>
  <si>
    <t>Disturbing Presence*, Juggernaut, Loner (4+)*, Mighty Blow (+1), Prehensile Tail, Regeneration, Sure Feet</t>
  </si>
  <si>
    <t>Ivar Eriksson</t>
  </si>
  <si>
    <t>Block, Guard, Loner (3+)*, Tackle</t>
  </si>
  <si>
    <t>AIDING PARTY!: Once per drive, whenever Ivar begins his activation, he may choose one Open player on his team within five squares. The chosen player may immediately move one square, ignoring Tackle Zones, though they must end this move Marking an opposition player.</t>
  </si>
  <si>
    <t>Favoured of Khorne</t>
  </si>
  <si>
    <t>Lustrian Superleague
Old World Classic</t>
  </si>
  <si>
    <t>LSLOWC</t>
  </si>
  <si>
    <t>OWCSSL</t>
  </si>
  <si>
    <t>HTCOWC</t>
  </si>
  <si>
    <t>BACBLB</t>
  </si>
  <si>
    <t>BACBLBUWC</t>
  </si>
  <si>
    <t>Bribery and Corruption
Badlands Brawl</t>
  </si>
  <si>
    <t>Bribery and Corruption
Badlands Brawl
Low Cost Lineman</t>
  </si>
  <si>
    <t>Badlands Brawl
Low Cost Lineman
Old World Classic</t>
  </si>
  <si>
    <t>Halfling Thimble Cup
Old World Classic</t>
  </si>
  <si>
    <t>Old World Classic
Sylvanian Spotlight</t>
  </si>
  <si>
    <t>Special</t>
  </si>
  <si>
    <t>Special extd</t>
  </si>
  <si>
    <t>Extra cost</t>
  </si>
  <si>
    <t>Extra cost #</t>
  </si>
  <si>
    <t>BACBLBLCLUWC</t>
  </si>
  <si>
    <t>Bribery and Corruption
Low Cost Lineman
Underworld Challenge</t>
  </si>
  <si>
    <t>Bribery and Corruption
Underworld Challenge</t>
  </si>
  <si>
    <t>Bribery and Corruption
Badlands Brawl
Low Cost Lineman
Underworld Challenge</t>
  </si>
  <si>
    <t>FAVUWC</t>
  </si>
  <si>
    <t>ELK</t>
  </si>
  <si>
    <t>HTCOWCWES</t>
  </si>
  <si>
    <t>HTCLSLOWCWES</t>
  </si>
  <si>
    <t>HTCLSLOWC</t>
  </si>
  <si>
    <t>BACBLBEKLHTCLCLLSLMOUOWCSSLUWCWESFAV</t>
  </si>
  <si>
    <t>BACBLBEKLHTCLCLLSLMOUOWCUWCWESFAV</t>
  </si>
  <si>
    <t>SSLWES</t>
  </si>
  <si>
    <t>LSLEKL</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</si>
  <si>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</si>
  <si>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Masters of Undeath</t>
  </si>
  <si>
    <t>Plays for</t>
  </si>
  <si>
    <t>---</t>
  </si>
  <si>
    <r>
      <rPr>
        <b/>
        <u/>
        <sz val="11"/>
        <rFont val="Calibri"/>
        <family val="2"/>
        <scheme val="minor"/>
      </rPr>
      <t>General Information:</t>
    </r>
    <r>
      <rPr>
        <sz val="11"/>
        <rFont val="Calibri"/>
        <family val="2"/>
        <scheme val="minor"/>
      </rPr>
      <t xml:space="preserve">
This page gives an overview of all teams that are playing in your squad.
The captain should always be on page Team 1.
There are 7 pages named Team 1 to Team 7, where coaches can enter their rosters.</t>
    </r>
  </si>
  <si>
    <t>Star Player Check</t>
  </si>
  <si>
    <t>Team 1 - 1</t>
  </si>
  <si>
    <t>Team 1 - 2</t>
  </si>
  <si>
    <t>Team 2 - 1</t>
  </si>
  <si>
    <t>Team 2 - 2</t>
  </si>
  <si>
    <t>Team 3 - 1</t>
  </si>
  <si>
    <t>Team 3 - 2</t>
  </si>
  <si>
    <t>Race check</t>
  </si>
  <si>
    <t>Original version made by Tojurub.</t>
  </si>
  <si>
    <t>Pre 2022</t>
  </si>
  <si>
    <t>Updated for EuroBowl 2022</t>
  </si>
  <si>
    <t>03.01.2022</t>
  </si>
  <si>
    <t>Updated for WC V with new stars, tiers, Amazon and Norse rosters.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</si>
</sst>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0"/>
    <numFmt numFmtId="166" formatCode="#,##0\ &quot;gp&quot;"/>
    <numFmt numFmtId="167" formatCode="&quot;x &quot;#,##0\ &quot;gp =&quot;"/>
  </numFmts>
  <fonts count="36" x14ac:knownFonts="1">
    <font>
      <sz val="11"/>
      <color theme="1"/>
      <name val="Calibri"/>
      <family val="2"/>
      <scheme val="minor"/>
    </font>
    <font>
      <b/>
      <sz val="11"/>
      <color theme="1"/>
      <name val="Calibri"/>
      <family val="2"/>
      <scheme val="minor"/>
    </font>
    <font>
      <sz val="8"/>
      <name val="Calibri"/>
      <family val="2"/>
      <scheme val="minor"/>
    </font>
    <font>
      <b/>
      <sz val="11"/>
      <color theme="0"/>
      <name val="Calibri"/>
      <family val="2"/>
      <scheme val="minor"/>
    </font>
    <font>
      <sz val="8"/>
      <color theme="1"/>
      <name val="Calibri"/>
      <family val="2"/>
      <scheme val="minor"/>
    </font>
    <font>
      <sz val="9"/>
      <color theme="1"/>
      <name val="Calibri"/>
      <family val="2"/>
      <scheme val="minor"/>
    </font>
    <font>
      <sz val="9"/>
      <color indexed="81"/>
      <name val="Segoe UI"/>
      <family val="2"/>
    </font>
    <font>
      <b/>
      <sz val="9"/>
      <color indexed="81"/>
      <name val="Segoe UI"/>
      <family val="2"/>
    </font>
    <font>
      <b/>
      <sz val="18"/>
      <color theme="1"/>
      <name val="Calibri"/>
      <family val="2"/>
      <scheme val="minor"/>
    </font>
    <font>
      <b/>
      <sz val="11"/>
      <color theme="7" tint="0.79998168889431442"/>
      <name val="Calibri"/>
      <family val="2"/>
      <scheme val="minor"/>
    </font>
    <font>
      <b/>
      <sz val="11"/>
      <color rgb="FFFF0000"/>
      <name val="Calibri"/>
      <family val="2"/>
      <scheme val="minor"/>
    </font>
    <font>
      <b/>
      <sz val="14"/>
      <color theme="1"/>
      <name val="Calibri"/>
      <family val="2"/>
      <scheme val="minor"/>
    </font>
    <font>
      <b/>
      <sz val="16"/>
      <color theme="1"/>
      <name val="Calibri"/>
      <family val="2"/>
      <scheme val="minor"/>
    </font>
    <font>
      <sz val="11"/>
      <name val="Calibri"/>
      <family val="2"/>
      <scheme val="minor"/>
    </font>
    <font>
      <b/>
      <sz val="9"/>
      <color theme="1"/>
      <name val="Calibri"/>
      <family val="2"/>
      <scheme val="minor"/>
    </font>
    <font>
      <b/>
      <u/>
      <sz val="11"/>
      <name val="Calibri"/>
      <family val="2"/>
      <scheme val="minor"/>
    </font>
    <font>
      <sz val="7"/>
      <color theme="1"/>
      <name val="Calibri"/>
      <family val="2"/>
      <scheme val="minor"/>
    </font>
    <font>
      <sz val="18"/>
      <color theme="1"/>
      <name val="Calibri"/>
      <family val="2"/>
      <scheme val="minor"/>
    </font>
    <font>
      <u/>
      <sz val="11"/>
      <color theme="1"/>
      <name val="Calibri"/>
      <family val="2"/>
      <scheme val="minor"/>
    </font>
    <font>
      <sz val="9"/>
      <color rgb="FF000000"/>
      <name val="Calibri"/>
      <family val="2"/>
      <scheme val="minor"/>
    </font>
    <font>
      <b/>
      <sz val="9"/>
      <color rgb="FF000000"/>
      <name val="Calibri"/>
      <family val="2"/>
      <scheme val="minor"/>
    </font>
    <font>
      <sz val="9"/>
      <color rgb="FFFFFFFF"/>
      <name val="Calibri"/>
      <family val="2"/>
      <scheme val="minor"/>
    </font>
    <font>
      <b/>
      <sz val="14"/>
      <color rgb="FF000000"/>
      <name val="Calibri"/>
      <family val="2"/>
      <scheme val="minor"/>
    </font>
    <font>
      <b/>
      <sz val="11"/>
      <name val="Calibri"/>
      <family val="2"/>
      <scheme val="minor"/>
    </font>
    <font>
      <sz val="16"/>
      <color theme="1"/>
      <name val="Calibri"/>
      <family val="2"/>
      <scheme val="minor"/>
    </font>
    <font>
      <u/>
      <sz val="11"/>
      <color theme="10"/>
      <name val="Calibri"/>
      <family val="2"/>
      <scheme val="minor"/>
    </font>
    <font>
      <u/>
      <sz val="11"/>
      <name val="Calibri"/>
      <family val="2"/>
      <scheme val="minor"/>
    </font>
    <font>
      <b/>
      <i/>
      <sz val="11"/>
      <color rgb="FF101010"/>
      <name val="Calibri"/>
      <family val="2"/>
      <scheme val="minor"/>
    </font>
    <font>
      <sz val="11"/>
      <color rgb="FF101010"/>
      <name val="Calibri"/>
      <family val="2"/>
      <scheme val="minor"/>
    </font>
    <font>
      <b/>
      <i/>
      <sz val="11"/>
      <color theme="1"/>
      <name val="Calibri"/>
      <family val="2"/>
      <scheme val="minor"/>
    </font>
    <font>
      <i/>
      <sz val="11"/>
      <color theme="1"/>
      <name val="Calibri"/>
      <family val="2"/>
      <scheme val="minor"/>
    </font>
    <font>
      <b/>
      <sz val="36"/>
      <color theme="1"/>
      <name val="Calibri"/>
      <family val="2"/>
      <scheme val="minor"/>
    </font>
    <font>
      <b/>
      <sz val="28"/>
      <color theme="4" tint="-0.249977111117893"/>
      <name val="Century Gothic"/>
      <family val="2"/>
    </font>
    <font>
      <b/>
      <sz val="24"/>
      <color theme="4" tint="-0.249977111117893"/>
      <name val="Century Gothic"/>
      <family val="2"/>
    </font>
    <font>
      <sz val="11"/>
      <color theme="0" tint="-0.34998626667073579"/>
      <name val="Calibri"/>
      <family val="2"/>
      <scheme val="minor"/>
    </font>
    <font>
      <b/>
      <sz val="11"/>
      <color theme="0" tint="-0.34998626667073579"/>
      <name val="Calibri"/>
      <family val="2"/>
      <scheme val="minor"/>
    </font>
  </fonts>
  <fills count="29">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7979"/>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2F2F2"/>
        <bgColor indexed="64"/>
      </patternFill>
    </fill>
    <fill>
      <patternFill patternType="solid">
        <fgColor rgb="FFBFBFBF"/>
        <bgColor indexed="64"/>
      </patternFill>
    </fill>
    <fill>
      <patternFill patternType="solid">
        <fgColor rgb="FF0070C0"/>
        <bgColor indexed="64"/>
      </patternFill>
    </fill>
    <fill>
      <patternFill patternType="solid">
        <fgColor rgb="FF00B050"/>
        <bgColor indexed="64"/>
      </patternFill>
    </fill>
    <fill>
      <patternFill patternType="solid">
        <fgColor rgb="FF7030A0"/>
        <bgColor indexed="64"/>
      </patternFill>
    </fill>
    <fill>
      <patternFill patternType="solid">
        <fgColor rgb="FFFF0000"/>
        <bgColor indexed="64"/>
      </patternFill>
    </fill>
    <fill>
      <patternFill patternType="solid">
        <fgColor rgb="FFFFC000"/>
        <bgColor indexed="64"/>
      </patternFill>
    </fill>
    <fill>
      <patternFill patternType="solid">
        <fgColor rgb="FFFFFFFF"/>
        <bgColor indexed="64"/>
      </patternFill>
    </fill>
    <fill>
      <patternFill patternType="solid">
        <fgColor theme="9" tint="0.79998168889431442"/>
        <bgColor indexed="64"/>
      </patternFill>
    </fill>
    <fill>
      <gradientFill type="path" left="0.5" right="0.5" top="0.5" bottom="0.5">
        <stop position="0">
          <color theme="4" tint="0.80001220740379042"/>
        </stop>
        <stop position="1">
          <color theme="0"/>
        </stop>
      </gradientFill>
    </fill>
    <fill>
      <patternFill patternType="solid">
        <fgColor theme="0" tint="-0.34998626667073579"/>
        <bgColor indexed="64"/>
      </patternFill>
    </fill>
  </fills>
  <borders count="7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25" fillId="0" borderId="0" applyNumberFormat="0" applyFill="0" applyBorder="0" applyAlignment="0" applyProtection="0"/>
  </cellStyleXfs>
  <cellXfs count="503">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horizontal="center" vertical="top"/>
    </xf>
    <xf numFmtId="0" fontId="0" fillId="0" borderId="0" xfId="0" quotePrefix="1"/>
    <xf numFmtId="0" fontId="0" fillId="0" borderId="0" xfId="0" applyAlignment="1">
      <alignment vertical="center" wrapText="1"/>
    </xf>
    <xf numFmtId="0" fontId="0" fillId="4" borderId="0" xfId="0" applyFill="1"/>
    <xf numFmtId="0" fontId="0" fillId="4" borderId="0" xfId="0" applyFill="1" applyAlignment="1">
      <alignment vertical="center" wrapText="1"/>
    </xf>
    <xf numFmtId="0" fontId="0" fillId="4" borderId="0" xfId="0" applyFill="1" applyAlignment="1">
      <alignment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3" fontId="0" fillId="3" borderId="13" xfId="0" applyNumberFormat="1" applyFill="1" applyBorder="1" applyAlignment="1">
      <alignment vertical="center"/>
    </xf>
    <xf numFmtId="0" fontId="0" fillId="4" borderId="15" xfId="0" applyFill="1" applyBorder="1" applyAlignment="1">
      <alignment wrapText="1"/>
    </xf>
    <xf numFmtId="0" fontId="0" fillId="4" borderId="15" xfId="0" applyFill="1" applyBorder="1"/>
    <xf numFmtId="0" fontId="0" fillId="4" borderId="19" xfId="0" applyFill="1" applyBorder="1" applyAlignment="1">
      <alignment wrapText="1"/>
    </xf>
    <xf numFmtId="0" fontId="0" fillId="4" borderId="0" xfId="0" applyFill="1" applyAlignment="1">
      <alignment wrapText="1"/>
    </xf>
    <xf numFmtId="0" fontId="0" fillId="4" borderId="20" xfId="0" applyFill="1" applyBorder="1" applyAlignment="1">
      <alignment wrapText="1"/>
    </xf>
    <xf numFmtId="0" fontId="1" fillId="2" borderId="5" xfId="0" applyFont="1" applyFill="1" applyBorder="1" applyAlignment="1">
      <alignment vertical="center" wrapText="1"/>
    </xf>
    <xf numFmtId="0" fontId="1" fillId="2" borderId="10" xfId="0" applyFont="1" applyFill="1" applyBorder="1" applyAlignment="1">
      <alignment vertical="center" wrapText="1"/>
    </xf>
    <xf numFmtId="0" fontId="0" fillId="2" borderId="8" xfId="0" applyFill="1" applyBorder="1"/>
    <xf numFmtId="0" fontId="0" fillId="2" borderId="11" xfId="0" applyFill="1" applyBorder="1"/>
    <xf numFmtId="0" fontId="0" fillId="4" borderId="0" xfId="0" applyFill="1" applyAlignment="1">
      <alignment horizontal="center"/>
    </xf>
    <xf numFmtId="0" fontId="0" fillId="4" borderId="1" xfId="0" applyFill="1" applyBorder="1"/>
    <xf numFmtId="3" fontId="0" fillId="4" borderId="0" xfId="0" applyNumberFormat="1" applyFill="1"/>
    <xf numFmtId="0" fontId="0" fillId="8" borderId="12" xfId="0" applyFill="1" applyBorder="1" applyAlignment="1">
      <alignment vertical="center"/>
    </xf>
    <xf numFmtId="0" fontId="0" fillId="5" borderId="5" xfId="0" applyFill="1" applyBorder="1" applyAlignment="1">
      <alignment horizontal="center" vertical="center"/>
    </xf>
    <xf numFmtId="0" fontId="0" fillId="5" borderId="10" xfId="0" applyFill="1" applyBorder="1" applyAlignment="1">
      <alignment horizontal="center" vertical="center"/>
    </xf>
    <xf numFmtId="0" fontId="0" fillId="5" borderId="5" xfId="0" applyFill="1" applyBorder="1" applyAlignment="1">
      <alignment vertical="center"/>
    </xf>
    <xf numFmtId="0" fontId="0" fillId="5" borderId="10" xfId="0" applyFill="1" applyBorder="1" applyAlignment="1">
      <alignment vertical="center"/>
    </xf>
    <xf numFmtId="0" fontId="0" fillId="4" borderId="0" xfId="0" applyFill="1" applyAlignment="1">
      <alignment horizontal="center" wrapText="1"/>
    </xf>
    <xf numFmtId="0" fontId="0" fillId="0" borderId="36" xfId="0" applyBorder="1" applyAlignment="1">
      <alignment horizontal="center" vertical="center"/>
    </xf>
    <xf numFmtId="0" fontId="0" fillId="5" borderId="37" xfId="0" applyFill="1" applyBorder="1" applyAlignment="1">
      <alignment horizontal="center" vertical="center"/>
    </xf>
    <xf numFmtId="0" fontId="5" fillId="5" borderId="38" xfId="0" applyFont="1" applyFill="1" applyBorder="1" applyAlignment="1">
      <alignment horizontal="left" vertical="top" wrapText="1"/>
    </xf>
    <xf numFmtId="3" fontId="0" fillId="5" borderId="39" xfId="0" applyNumberFormat="1" applyFill="1" applyBorder="1" applyAlignment="1">
      <alignment horizontal="center" vertical="center"/>
    </xf>
    <xf numFmtId="0" fontId="1" fillId="7" borderId="30" xfId="0" applyFont="1" applyFill="1" applyBorder="1" applyAlignment="1">
      <alignment vertical="center" wrapText="1"/>
    </xf>
    <xf numFmtId="0" fontId="1" fillId="7" borderId="1" xfId="0" applyFont="1" applyFill="1" applyBorder="1" applyAlignment="1">
      <alignment vertical="center" wrapText="1"/>
    </xf>
    <xf numFmtId="0" fontId="0" fillId="4" borderId="41" xfId="0" applyFill="1" applyBorder="1" applyAlignment="1">
      <alignment vertical="center" wrapText="1"/>
    </xf>
    <xf numFmtId="0" fontId="0" fillId="4" borderId="21" xfId="0" applyFill="1" applyBorder="1" applyAlignment="1">
      <alignment horizontal="center" vertical="center" wrapText="1"/>
    </xf>
    <xf numFmtId="0" fontId="0" fillId="4" borderId="30" xfId="0" applyFill="1" applyBorder="1" applyAlignment="1">
      <alignment horizontal="center" vertical="center" wrapText="1"/>
    </xf>
    <xf numFmtId="0" fontId="0" fillId="0" borderId="14" xfId="0" applyBorder="1" applyAlignment="1">
      <alignment vertical="center" wrapText="1"/>
    </xf>
    <xf numFmtId="0" fontId="0" fillId="0" borderId="40" xfId="0" applyBorder="1" applyAlignment="1">
      <alignment vertical="center"/>
    </xf>
    <xf numFmtId="0" fontId="0" fillId="0" borderId="26" xfId="0" applyBorder="1" applyAlignment="1">
      <alignment vertical="center"/>
    </xf>
    <xf numFmtId="0" fontId="0" fillId="4" borderId="26" xfId="0" applyFill="1" applyBorder="1" applyAlignment="1">
      <alignment vertical="center"/>
    </xf>
    <xf numFmtId="0" fontId="0" fillId="4" borderId="27" xfId="0" applyFill="1" applyBorder="1" applyAlignment="1">
      <alignment vertical="center"/>
    </xf>
    <xf numFmtId="0" fontId="0" fillId="4" borderId="0" xfId="0" applyFill="1" applyAlignment="1">
      <alignment horizontal="center" vertical="center" wrapText="1"/>
    </xf>
    <xf numFmtId="0" fontId="10" fillId="4" borderId="0" xfId="0" applyFont="1" applyFill="1"/>
    <xf numFmtId="0" fontId="0" fillId="0" borderId="0" xfId="0" quotePrefix="1" applyAlignment="1">
      <alignment vertical="center" wrapText="1"/>
    </xf>
    <xf numFmtId="0" fontId="4" fillId="4" borderId="36" xfId="0" applyFont="1" applyFill="1" applyBorder="1" applyAlignment="1">
      <alignment vertical="center" wrapText="1"/>
    </xf>
    <xf numFmtId="0" fontId="4" fillId="4" borderId="7" xfId="0" applyFont="1" applyFill="1" applyBorder="1" applyAlignment="1">
      <alignment vertical="center" wrapText="1"/>
    </xf>
    <xf numFmtId="0" fontId="4" fillId="4" borderId="9" xfId="0" applyFont="1" applyFill="1" applyBorder="1" applyAlignment="1">
      <alignment vertical="center" wrapText="1"/>
    </xf>
    <xf numFmtId="0" fontId="4" fillId="4" borderId="37" xfId="0" applyFont="1" applyFill="1" applyBorder="1" applyAlignment="1">
      <alignment vertical="center" wrapText="1"/>
    </xf>
    <xf numFmtId="0" fontId="4" fillId="4" borderId="2" xfId="0" applyFont="1" applyFill="1" applyBorder="1" applyAlignment="1">
      <alignment vertical="center" wrapText="1"/>
    </xf>
    <xf numFmtId="0" fontId="4" fillId="4" borderId="10" xfId="0" applyFont="1" applyFill="1" applyBorder="1" applyAlignment="1">
      <alignment vertical="center" wrapText="1"/>
    </xf>
    <xf numFmtId="0" fontId="0" fillId="4" borderId="38" xfId="0" applyFill="1" applyBorder="1" applyAlignment="1">
      <alignment vertical="center" wrapText="1"/>
    </xf>
    <xf numFmtId="0" fontId="0" fillId="4" borderId="8" xfId="0" applyFill="1" applyBorder="1" applyAlignment="1">
      <alignment vertical="center" wrapText="1"/>
    </xf>
    <xf numFmtId="0" fontId="0" fillId="4" borderId="11" xfId="0" applyFill="1" applyBorder="1" applyAlignment="1">
      <alignment vertical="center" wrapText="1"/>
    </xf>
    <xf numFmtId="0" fontId="1" fillId="4" borderId="4" xfId="0" applyFont="1" applyFill="1" applyBorder="1" applyAlignment="1">
      <alignment horizontal="right"/>
    </xf>
    <xf numFmtId="0" fontId="1" fillId="4" borderId="7" xfId="0" applyFont="1" applyFill="1" applyBorder="1" applyAlignment="1">
      <alignment horizontal="right"/>
    </xf>
    <xf numFmtId="0" fontId="1" fillId="4" borderId="9" xfId="0" applyFont="1" applyFill="1" applyBorder="1" applyAlignment="1">
      <alignment horizontal="right"/>
    </xf>
    <xf numFmtId="0" fontId="5" fillId="5" borderId="6" xfId="0" applyFont="1" applyFill="1" applyBorder="1" applyAlignment="1">
      <alignment horizontal="left" vertical="top" wrapText="1"/>
    </xf>
    <xf numFmtId="0" fontId="5" fillId="5" borderId="42" xfId="0" applyFont="1" applyFill="1" applyBorder="1" applyAlignment="1">
      <alignment horizontal="left" vertical="top" wrapText="1"/>
    </xf>
    <xf numFmtId="3" fontId="0" fillId="3" borderId="12" xfId="0" applyNumberFormat="1" applyFill="1" applyBorder="1" applyAlignment="1">
      <alignment vertical="center"/>
    </xf>
    <xf numFmtId="0" fontId="0" fillId="2" borderId="6" xfId="0" applyFill="1" applyBorder="1"/>
    <xf numFmtId="0" fontId="0" fillId="4" borderId="2" xfId="0" applyFill="1" applyBorder="1"/>
    <xf numFmtId="0" fontId="1" fillId="14" borderId="21" xfId="0" applyFont="1" applyFill="1" applyBorder="1" applyAlignment="1">
      <alignment horizontal="center" vertical="center" wrapText="1"/>
    </xf>
    <xf numFmtId="0" fontId="1" fillId="14" borderId="41" xfId="0" applyFont="1" applyFill="1" applyBorder="1" applyAlignment="1">
      <alignment horizontal="center" vertical="center" wrapText="1"/>
    </xf>
    <xf numFmtId="0" fontId="1" fillId="14" borderId="30" xfId="0" applyFont="1" applyFill="1" applyBorder="1" applyAlignment="1">
      <alignment horizontal="center" vertical="center" wrapText="1"/>
    </xf>
    <xf numFmtId="164" fontId="0" fillId="5" borderId="37" xfId="0" applyNumberFormat="1" applyFill="1" applyBorder="1" applyAlignment="1">
      <alignment horizontal="center" vertical="center"/>
    </xf>
    <xf numFmtId="164" fontId="0" fillId="5" borderId="5" xfId="0" applyNumberFormat="1" applyFill="1" applyBorder="1" applyAlignment="1">
      <alignment horizontal="center" vertical="center"/>
    </xf>
    <xf numFmtId="164" fontId="0" fillId="5" borderId="10" xfId="0" applyNumberFormat="1" applyFill="1" applyBorder="1" applyAlignment="1">
      <alignment horizontal="center" vertical="center"/>
    </xf>
    <xf numFmtId="165" fontId="0" fillId="0" borderId="36" xfId="0" applyNumberFormat="1" applyBorder="1" applyAlignment="1">
      <alignment vertical="center"/>
    </xf>
    <xf numFmtId="165" fontId="0" fillId="0" borderId="37" xfId="0" applyNumberFormat="1" applyBorder="1" applyAlignment="1">
      <alignment vertical="center"/>
    </xf>
    <xf numFmtId="165" fontId="0" fillId="0" borderId="38" xfId="0" applyNumberFormat="1" applyBorder="1" applyAlignment="1">
      <alignment vertical="center"/>
    </xf>
    <xf numFmtId="165" fontId="0" fillId="0" borderId="7" xfId="0" applyNumberFormat="1" applyBorder="1" applyAlignment="1">
      <alignment vertical="center"/>
    </xf>
    <xf numFmtId="165" fontId="0" fillId="0" borderId="2" xfId="0" applyNumberFormat="1" applyBorder="1" applyAlignment="1">
      <alignment vertical="center"/>
    </xf>
    <xf numFmtId="165" fontId="0" fillId="0" borderId="8" xfId="0" applyNumberFormat="1" applyBorder="1" applyAlignment="1">
      <alignment vertical="center"/>
    </xf>
    <xf numFmtId="165" fontId="0" fillId="0" borderId="9" xfId="0" applyNumberFormat="1" applyBorder="1" applyAlignment="1">
      <alignment vertical="center"/>
    </xf>
    <xf numFmtId="165" fontId="0" fillId="0" borderId="10" xfId="0" applyNumberFormat="1" applyBorder="1" applyAlignment="1">
      <alignment vertical="center"/>
    </xf>
    <xf numFmtId="165" fontId="0" fillId="0" borderId="11" xfId="0" applyNumberFormat="1" applyBorder="1" applyAlignment="1">
      <alignment vertical="center"/>
    </xf>
    <xf numFmtId="0" fontId="1" fillId="15" borderId="41" xfId="0" applyFont="1" applyFill="1" applyBorder="1" applyAlignment="1">
      <alignment horizontal="center" vertical="center" wrapText="1"/>
    </xf>
    <xf numFmtId="0" fontId="1" fillId="15" borderId="21" xfId="0" applyFont="1" applyFill="1" applyBorder="1" applyAlignment="1">
      <alignment horizontal="center" vertical="center" wrapText="1"/>
    </xf>
    <xf numFmtId="0" fontId="1" fillId="15" borderId="30" xfId="0" applyFont="1" applyFill="1" applyBorder="1" applyAlignment="1">
      <alignment horizontal="center" vertical="center" wrapText="1"/>
    </xf>
    <xf numFmtId="0" fontId="0" fillId="4" borderId="0" xfId="0" applyFill="1" applyAlignment="1">
      <alignment horizontal="right"/>
    </xf>
    <xf numFmtId="0" fontId="0" fillId="4" borderId="0" xfId="0" applyFill="1" applyAlignment="1">
      <alignment horizontal="left"/>
    </xf>
    <xf numFmtId="0" fontId="13" fillId="4" borderId="0" xfId="0" applyFont="1" applyFill="1"/>
    <xf numFmtId="0" fontId="13" fillId="4" borderId="0" xfId="0" applyFont="1" applyFill="1" applyAlignment="1">
      <alignment horizontal="center"/>
    </xf>
    <xf numFmtId="0" fontId="0" fillId="4" borderId="0" xfId="0" applyFill="1" applyAlignment="1">
      <alignment horizontal="center" vertical="top"/>
    </xf>
    <xf numFmtId="16" fontId="13" fillId="4" borderId="0" xfId="0" applyNumberFormat="1" applyFont="1" applyFill="1" applyAlignment="1">
      <alignment vertical="center"/>
    </xf>
    <xf numFmtId="0" fontId="0" fillId="4" borderId="12" xfId="0" applyFill="1" applyBorder="1" applyAlignment="1">
      <alignment horizontal="center" vertical="center"/>
    </xf>
    <xf numFmtId="0" fontId="0" fillId="4" borderId="14" xfId="0" applyFill="1" applyBorder="1" applyAlignment="1">
      <alignment vertical="center"/>
    </xf>
    <xf numFmtId="0" fontId="19" fillId="19" borderId="2" xfId="0" applyFont="1" applyFill="1" applyBorder="1" applyAlignment="1">
      <alignment vertical="center" wrapText="1"/>
    </xf>
    <xf numFmtId="0" fontId="19" fillId="18" borderId="2" xfId="0" applyFont="1" applyFill="1" applyBorder="1" applyAlignment="1">
      <alignment vertical="center" wrapText="1"/>
    </xf>
    <xf numFmtId="0" fontId="19" fillId="19" borderId="8" xfId="0" applyFont="1" applyFill="1" applyBorder="1" applyAlignment="1">
      <alignment vertical="center" wrapText="1"/>
    </xf>
    <xf numFmtId="0" fontId="19" fillId="18" borderId="8" xfId="0" applyFont="1" applyFill="1" applyBorder="1" applyAlignment="1">
      <alignment vertical="center" wrapText="1"/>
    </xf>
    <xf numFmtId="0" fontId="19" fillId="19" borderId="7" xfId="0" applyFont="1" applyFill="1" applyBorder="1" applyAlignment="1">
      <alignment vertical="center" wrapText="1"/>
    </xf>
    <xf numFmtId="0" fontId="19" fillId="18" borderId="7" xfId="0" applyFont="1" applyFill="1" applyBorder="1" applyAlignment="1">
      <alignment vertical="center" wrapText="1"/>
    </xf>
    <xf numFmtId="0" fontId="19" fillId="18" borderId="9" xfId="0" applyFont="1" applyFill="1" applyBorder="1" applyAlignment="1">
      <alignment vertical="center" wrapText="1"/>
    </xf>
    <xf numFmtId="0" fontId="19" fillId="18" borderId="10" xfId="0" applyFont="1" applyFill="1" applyBorder="1" applyAlignment="1">
      <alignment vertical="center" wrapText="1"/>
    </xf>
    <xf numFmtId="0" fontId="19" fillId="18" borderId="11" xfId="0" applyFont="1" applyFill="1" applyBorder="1" applyAlignment="1">
      <alignment vertical="center" wrapText="1"/>
    </xf>
    <xf numFmtId="0" fontId="19" fillId="18" borderId="36" xfId="0" applyFont="1" applyFill="1" applyBorder="1" applyAlignment="1">
      <alignment vertical="center" wrapText="1"/>
    </xf>
    <xf numFmtId="0" fontId="19" fillId="18" borderId="37" xfId="0" applyFont="1" applyFill="1" applyBorder="1" applyAlignment="1">
      <alignment vertical="center" wrapText="1"/>
    </xf>
    <xf numFmtId="0" fontId="19" fillId="18" borderId="38" xfId="0" applyFont="1" applyFill="1" applyBorder="1" applyAlignment="1">
      <alignment vertical="center" wrapText="1"/>
    </xf>
    <xf numFmtId="0" fontId="19" fillId="18" borderId="24" xfId="0" applyFont="1" applyFill="1" applyBorder="1" applyAlignment="1">
      <alignment vertical="center" wrapText="1"/>
    </xf>
    <xf numFmtId="0" fontId="19" fillId="19" borderId="24" xfId="0" applyFont="1" applyFill="1" applyBorder="1" applyAlignment="1">
      <alignment vertical="center" wrapText="1"/>
    </xf>
    <xf numFmtId="0" fontId="19" fillId="17" borderId="24" xfId="0" applyFont="1" applyFill="1" applyBorder="1" applyAlignment="1">
      <alignment vertical="center" wrapText="1"/>
    </xf>
    <xf numFmtId="0" fontId="19" fillId="19" borderId="51" xfId="0" applyFont="1" applyFill="1" applyBorder="1" applyAlignment="1">
      <alignment vertical="center" wrapText="1"/>
    </xf>
    <xf numFmtId="0" fontId="19" fillId="24" borderId="24" xfId="0" applyFont="1" applyFill="1" applyBorder="1" applyAlignment="1">
      <alignment vertical="center" wrapText="1"/>
    </xf>
    <xf numFmtId="0" fontId="19" fillId="25" borderId="51" xfId="0" applyFont="1" applyFill="1" applyBorder="1" applyAlignment="1">
      <alignment vertical="center" wrapText="1"/>
    </xf>
    <xf numFmtId="0" fontId="21" fillId="22" borderId="24" xfId="0" applyFont="1" applyFill="1" applyBorder="1" applyAlignment="1">
      <alignment vertical="center" wrapText="1"/>
    </xf>
    <xf numFmtId="0" fontId="21" fillId="21" borderId="24" xfId="0" applyFont="1" applyFill="1" applyBorder="1" applyAlignment="1">
      <alignment vertical="center" wrapText="1"/>
    </xf>
    <xf numFmtId="0" fontId="21" fillId="23" borderId="24" xfId="0" applyFont="1" applyFill="1" applyBorder="1" applyAlignment="1">
      <alignment vertical="center" wrapText="1"/>
    </xf>
    <xf numFmtId="14" fontId="0" fillId="4" borderId="0" xfId="0" applyNumberFormat="1" applyFill="1" applyAlignment="1">
      <alignment horizontal="left"/>
    </xf>
    <xf numFmtId="0" fontId="0" fillId="4" borderId="2" xfId="0" applyFill="1" applyBorder="1" applyAlignment="1">
      <alignment horizontal="center" vertical="top"/>
    </xf>
    <xf numFmtId="0" fontId="0" fillId="4" borderId="2" xfId="0" applyFill="1" applyBorder="1" applyAlignment="1">
      <alignment vertical="top"/>
    </xf>
    <xf numFmtId="0" fontId="0" fillId="4" borderId="2" xfId="0" applyFill="1" applyBorder="1" applyAlignment="1">
      <alignment vertical="top" wrapText="1"/>
    </xf>
    <xf numFmtId="0" fontId="0" fillId="4" borderId="2" xfId="0" applyFill="1" applyBorder="1" applyAlignment="1">
      <alignment horizontal="center"/>
    </xf>
    <xf numFmtId="0" fontId="13" fillId="4" borderId="0" xfId="0" applyFont="1" applyFill="1" applyAlignment="1">
      <alignment vertical="top" wrapText="1"/>
    </xf>
    <xf numFmtId="0" fontId="0" fillId="0" borderId="15" xfId="0" applyBorder="1"/>
    <xf numFmtId="0" fontId="1" fillId="7" borderId="1" xfId="0" applyFont="1" applyFill="1" applyBorder="1" applyAlignment="1">
      <alignment horizontal="center" vertical="center" wrapText="1"/>
    </xf>
    <xf numFmtId="3" fontId="0" fillId="5" borderId="39" xfId="0" applyNumberFormat="1" applyFill="1" applyBorder="1" applyAlignment="1">
      <alignment vertical="center"/>
    </xf>
    <xf numFmtId="3" fontId="0" fillId="5" borderId="44" xfId="0" applyNumberFormat="1" applyFill="1" applyBorder="1" applyAlignment="1">
      <alignment vertical="center"/>
    </xf>
    <xf numFmtId="0" fontId="0" fillId="0" borderId="0" xfId="0" applyAlignment="1">
      <alignment horizontal="center" vertical="center" wrapText="1"/>
    </xf>
    <xf numFmtId="0" fontId="0" fillId="0" borderId="0" xfId="0" applyAlignment="1">
      <alignment horizontal="center"/>
    </xf>
    <xf numFmtId="0" fontId="1" fillId="7" borderId="41"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10" fillId="4" borderId="0" xfId="0" applyFont="1" applyFill="1" applyAlignment="1">
      <alignment horizontal="left"/>
    </xf>
    <xf numFmtId="0" fontId="17" fillId="4" borderId="0" xfId="0" applyFont="1" applyFill="1" applyAlignment="1">
      <alignment vertical="center" wrapText="1"/>
    </xf>
    <xf numFmtId="167" fontId="0" fillId="4" borderId="2" xfId="0" applyNumberFormat="1" applyFill="1" applyBorder="1" applyAlignment="1">
      <alignment vertical="center"/>
    </xf>
    <xf numFmtId="0" fontId="0" fillId="2" borderId="7" xfId="0" applyFill="1" applyBorder="1" applyAlignment="1">
      <alignment horizontal="center"/>
    </xf>
    <xf numFmtId="0" fontId="1" fillId="4" borderId="3" xfId="0" applyFont="1" applyFill="1" applyBorder="1" applyAlignment="1">
      <alignment horizontal="right"/>
    </xf>
    <xf numFmtId="0" fontId="0" fillId="2" borderId="36" xfId="0" applyFill="1" applyBorder="1" applyAlignment="1">
      <alignment horizontal="center"/>
    </xf>
    <xf numFmtId="0" fontId="1" fillId="4" borderId="56" xfId="0" applyFont="1" applyFill="1" applyBorder="1" applyAlignment="1">
      <alignment horizontal="right"/>
    </xf>
    <xf numFmtId="166" fontId="1" fillId="4" borderId="0" xfId="0" applyNumberFormat="1" applyFont="1" applyFill="1" applyAlignment="1">
      <alignment horizontal="right"/>
    </xf>
    <xf numFmtId="0" fontId="0" fillId="4" borderId="53" xfId="0" applyFill="1" applyBorder="1" applyAlignment="1">
      <alignment vertical="center" wrapText="1"/>
    </xf>
    <xf numFmtId="0" fontId="4" fillId="4" borderId="56" xfId="0" applyFont="1" applyFill="1" applyBorder="1" applyAlignment="1">
      <alignment vertical="center" wrapText="1"/>
    </xf>
    <xf numFmtId="0" fontId="4" fillId="4" borderId="3" xfId="0" applyFont="1" applyFill="1" applyBorder="1" applyAlignment="1">
      <alignment vertical="center" wrapText="1"/>
    </xf>
    <xf numFmtId="0" fontId="4" fillId="4" borderId="23" xfId="0" applyFont="1" applyFill="1" applyBorder="1" applyAlignment="1">
      <alignment vertical="center" wrapText="1"/>
    </xf>
    <xf numFmtId="0" fontId="0" fillId="5" borderId="50" xfId="0" applyFill="1" applyBorder="1" applyAlignment="1">
      <alignment horizontal="center" vertical="center"/>
    </xf>
    <xf numFmtId="164" fontId="0" fillId="5" borderId="50" xfId="0" applyNumberFormat="1" applyFill="1" applyBorder="1" applyAlignment="1">
      <alignment horizontal="center" vertical="center"/>
    </xf>
    <xf numFmtId="3" fontId="0" fillId="5" borderId="44" xfId="0" applyNumberFormat="1" applyFill="1" applyBorder="1" applyAlignment="1">
      <alignment horizontal="center" vertical="center"/>
    </xf>
    <xf numFmtId="0" fontId="0" fillId="0" borderId="0" xfId="0" quotePrefix="1" applyAlignment="1">
      <alignment wrapText="1"/>
    </xf>
    <xf numFmtId="167" fontId="0" fillId="4" borderId="2" xfId="0" applyNumberFormat="1" applyFill="1" applyBorder="1" applyAlignment="1">
      <alignment horizontal="right" vertical="center"/>
    </xf>
    <xf numFmtId="0" fontId="1" fillId="4" borderId="55" xfId="0" applyFont="1" applyFill="1" applyBorder="1" applyAlignment="1">
      <alignment horizontal="right"/>
    </xf>
    <xf numFmtId="167" fontId="0" fillId="4" borderId="0" xfId="0" applyNumberFormat="1" applyFill="1" applyAlignment="1">
      <alignment horizontal="center" vertical="top"/>
    </xf>
    <xf numFmtId="0" fontId="0" fillId="4" borderId="19" xfId="0" applyFill="1" applyBorder="1"/>
    <xf numFmtId="0" fontId="0" fillId="4" borderId="29" xfId="0" applyFill="1" applyBorder="1"/>
    <xf numFmtId="0" fontId="1" fillId="9" borderId="19" xfId="0" applyFont="1" applyFill="1" applyBorder="1" applyAlignment="1">
      <alignment vertical="center" wrapText="1"/>
    </xf>
    <xf numFmtId="0" fontId="0" fillId="4" borderId="14" xfId="0" applyFill="1" applyBorder="1" applyAlignment="1">
      <alignment horizontal="center" vertical="center" wrapText="1"/>
    </xf>
    <xf numFmtId="0" fontId="0" fillId="4" borderId="40" xfId="0" applyFill="1" applyBorder="1" applyAlignment="1">
      <alignment vertical="center" wrapText="1"/>
    </xf>
    <xf numFmtId="0" fontId="0" fillId="4" borderId="26" xfId="0" applyFill="1" applyBorder="1" applyAlignment="1">
      <alignment vertical="center" wrapText="1"/>
    </xf>
    <xf numFmtId="0" fontId="0" fillId="4" borderId="27" xfId="0" applyFill="1" applyBorder="1" applyAlignment="1">
      <alignment vertical="center" wrapText="1"/>
    </xf>
    <xf numFmtId="0" fontId="0" fillId="4" borderId="30" xfId="0" applyFill="1" applyBorder="1" applyAlignment="1">
      <alignment vertical="center" wrapText="1"/>
    </xf>
    <xf numFmtId="0" fontId="4" fillId="4" borderId="38" xfId="0" applyFont="1" applyFill="1" applyBorder="1" applyAlignment="1">
      <alignment vertical="center" wrapText="1"/>
    </xf>
    <xf numFmtId="0" fontId="4" fillId="4" borderId="8" xfId="0" applyFont="1" applyFill="1" applyBorder="1" applyAlignment="1">
      <alignment vertical="center" wrapText="1"/>
    </xf>
    <xf numFmtId="0" fontId="4" fillId="4" borderId="11" xfId="0" applyFont="1" applyFill="1" applyBorder="1" applyAlignment="1">
      <alignment vertical="center" wrapText="1"/>
    </xf>
    <xf numFmtId="0" fontId="0" fillId="4" borderId="13" xfId="0" applyFill="1" applyBorder="1" applyAlignment="1">
      <alignment wrapText="1"/>
    </xf>
    <xf numFmtId="166" fontId="1" fillId="5" borderId="14" xfId="0" applyNumberFormat="1" applyFont="1" applyFill="1" applyBorder="1"/>
    <xf numFmtId="0" fontId="0" fillId="4" borderId="55" xfId="0" applyFill="1" applyBorder="1" applyAlignment="1">
      <alignment horizontal="left" vertical="top"/>
    </xf>
    <xf numFmtId="0" fontId="27" fillId="4" borderId="43" xfId="0" applyFont="1" applyFill="1" applyBorder="1"/>
    <xf numFmtId="0" fontId="28" fillId="4" borderId="44" xfId="0" applyFont="1" applyFill="1" applyBorder="1"/>
    <xf numFmtId="0" fontId="28" fillId="4" borderId="60" xfId="0" applyFont="1" applyFill="1" applyBorder="1"/>
    <xf numFmtId="0" fontId="0" fillId="4" borderId="60" xfId="0" applyFill="1" applyBorder="1"/>
    <xf numFmtId="0" fontId="0" fillId="4" borderId="44" xfId="0" applyFill="1" applyBorder="1"/>
    <xf numFmtId="0" fontId="27" fillId="4" borderId="60" xfId="0" applyFont="1" applyFill="1" applyBorder="1"/>
    <xf numFmtId="0" fontId="1" fillId="16" borderId="1" xfId="0" applyFont="1" applyFill="1" applyBorder="1" applyAlignment="1">
      <alignment horizontal="center" vertical="center" wrapText="1"/>
    </xf>
    <xf numFmtId="0" fontId="1" fillId="16" borderId="30" xfId="0" applyFont="1" applyFill="1" applyBorder="1" applyAlignment="1">
      <alignment horizontal="center" vertical="center" wrapText="1"/>
    </xf>
    <xf numFmtId="0" fontId="0" fillId="4" borderId="55" xfId="0" applyFill="1" applyBorder="1" applyAlignment="1">
      <alignment horizontal="center" vertical="top"/>
    </xf>
    <xf numFmtId="0" fontId="0" fillId="26" borderId="0" xfId="0" applyFill="1" applyAlignment="1">
      <alignment vertical="center"/>
    </xf>
    <xf numFmtId="0" fontId="0" fillId="26" borderId="55" xfId="0" applyFill="1" applyBorder="1"/>
    <xf numFmtId="0" fontId="0" fillId="26" borderId="64" xfId="0" applyFill="1" applyBorder="1" applyAlignment="1">
      <alignment vertical="center"/>
    </xf>
    <xf numFmtId="0" fontId="0" fillId="26" borderId="65" xfId="0" applyFill="1" applyBorder="1" applyAlignment="1">
      <alignment vertical="center"/>
    </xf>
    <xf numFmtId="0" fontId="0" fillId="26" borderId="57" xfId="0" applyFill="1" applyBorder="1" applyAlignment="1">
      <alignment vertical="center"/>
    </xf>
    <xf numFmtId="0" fontId="0" fillId="26" borderId="54" xfId="0" applyFill="1" applyBorder="1" applyAlignment="1">
      <alignment vertical="center"/>
    </xf>
    <xf numFmtId="0" fontId="0" fillId="26" borderId="56" xfId="0" applyFill="1" applyBorder="1" applyAlignment="1">
      <alignment vertical="center"/>
    </xf>
    <xf numFmtId="0" fontId="1" fillId="0" borderId="0" xfId="0" applyFont="1"/>
    <xf numFmtId="0" fontId="1" fillId="26" borderId="64" xfId="0" applyFont="1" applyFill="1" applyBorder="1"/>
    <xf numFmtId="0" fontId="0" fillId="26" borderId="62" xfId="0" applyFill="1" applyBorder="1"/>
    <xf numFmtId="0" fontId="0" fillId="26" borderId="64" xfId="0" applyFill="1" applyBorder="1"/>
    <xf numFmtId="0" fontId="0" fillId="26" borderId="0" xfId="0" applyFill="1" applyAlignment="1">
      <alignment horizontal="center" vertical="center" wrapText="1"/>
    </xf>
    <xf numFmtId="0" fontId="0" fillId="26" borderId="0" xfId="0" applyFill="1"/>
    <xf numFmtId="0" fontId="0" fillId="26" borderId="65" xfId="0" applyFill="1" applyBorder="1"/>
    <xf numFmtId="0" fontId="0" fillId="26" borderId="54" xfId="0" applyFill="1" applyBorder="1"/>
    <xf numFmtId="0" fontId="1" fillId="26" borderId="62" xfId="0" applyFont="1" applyFill="1" applyBorder="1"/>
    <xf numFmtId="0" fontId="1" fillId="26" borderId="0" xfId="0" applyFont="1" applyFill="1" applyAlignment="1">
      <alignment horizontal="center" vertical="center" wrapText="1"/>
    </xf>
    <xf numFmtId="0" fontId="1" fillId="26" borderId="65" xfId="0" applyFont="1" applyFill="1" applyBorder="1" applyAlignment="1">
      <alignment vertical="center" wrapText="1"/>
    </xf>
    <xf numFmtId="0" fontId="0" fillId="26" borderId="65" xfId="0" applyFill="1" applyBorder="1" applyAlignment="1">
      <alignment horizontal="center"/>
    </xf>
    <xf numFmtId="0" fontId="0" fillId="26" borderId="65" xfId="0" applyFill="1" applyBorder="1" applyAlignment="1">
      <alignment horizontal="center" vertical="center"/>
    </xf>
    <xf numFmtId="0" fontId="0" fillId="26" borderId="0" xfId="0" applyFill="1" applyAlignment="1">
      <alignment wrapText="1"/>
    </xf>
    <xf numFmtId="0" fontId="1" fillId="15" borderId="64" xfId="0" applyFont="1" applyFill="1" applyBorder="1" applyAlignment="1">
      <alignment vertical="center" wrapText="1"/>
    </xf>
    <xf numFmtId="0" fontId="1" fillId="15" borderId="0" xfId="0" applyFont="1" applyFill="1" applyAlignment="1">
      <alignment vertical="center" wrapText="1"/>
    </xf>
    <xf numFmtId="0" fontId="1" fillId="15" borderId="0" xfId="0" applyFont="1" applyFill="1" applyAlignment="1">
      <alignment vertical="center"/>
    </xf>
    <xf numFmtId="0" fontId="0" fillId="15" borderId="0" xfId="0" applyFill="1" applyAlignment="1">
      <alignment vertical="center" wrapText="1"/>
    </xf>
    <xf numFmtId="0" fontId="0" fillId="15" borderId="65" xfId="0" applyFill="1" applyBorder="1" applyAlignment="1">
      <alignment vertical="center" wrapText="1"/>
    </xf>
    <xf numFmtId="0" fontId="1" fillId="15" borderId="64" xfId="0" applyFont="1" applyFill="1" applyBorder="1" applyAlignment="1">
      <alignment vertical="center"/>
    </xf>
    <xf numFmtId="0" fontId="1" fillId="15" borderId="0" xfId="0" applyFont="1" applyFill="1" applyAlignment="1">
      <alignment horizontal="center" vertical="center" wrapText="1"/>
    </xf>
    <xf numFmtId="0" fontId="1" fillId="15" borderId="0" xfId="0" applyFont="1" applyFill="1" applyAlignment="1">
      <alignment horizontal="center" vertical="center"/>
    </xf>
    <xf numFmtId="0" fontId="0" fillId="26" borderId="0" xfId="0" applyFill="1" applyAlignment="1">
      <alignment horizontal="center" vertical="center"/>
    </xf>
    <xf numFmtId="0" fontId="0" fillId="26" borderId="54" xfId="0" applyFill="1" applyBorder="1" applyAlignment="1">
      <alignment horizontal="center" vertical="center"/>
    </xf>
    <xf numFmtId="0" fontId="1" fillId="26" borderId="57" xfId="0" applyFont="1" applyFill="1" applyBorder="1"/>
    <xf numFmtId="0" fontId="0" fillId="26" borderId="56" xfId="0" applyFill="1" applyBorder="1"/>
    <xf numFmtId="0" fontId="1" fillId="26" borderId="55" xfId="0" applyFont="1" applyFill="1" applyBorder="1" applyAlignment="1">
      <alignment horizontal="center"/>
    </xf>
    <xf numFmtId="0" fontId="1" fillId="26" borderId="63" xfId="0" applyFont="1" applyFill="1" applyBorder="1" applyAlignment="1">
      <alignment horizontal="center"/>
    </xf>
    <xf numFmtId="0" fontId="0" fillId="26" borderId="0" xfId="0" applyFill="1" applyAlignment="1">
      <alignment horizontal="center"/>
    </xf>
    <xf numFmtId="0" fontId="0" fillId="26" borderId="57" xfId="0" applyFill="1" applyBorder="1"/>
    <xf numFmtId="0" fontId="0" fillId="26" borderId="54" xfId="0" applyFill="1" applyBorder="1" applyAlignment="1">
      <alignment horizontal="center"/>
    </xf>
    <xf numFmtId="0" fontId="0" fillId="26" borderId="56" xfId="0" applyFill="1" applyBorder="1" applyAlignment="1">
      <alignment horizontal="center"/>
    </xf>
    <xf numFmtId="0" fontId="0" fillId="26" borderId="64" xfId="0" quotePrefix="1" applyFill="1" applyBorder="1"/>
    <xf numFmtId="0" fontId="0" fillId="15" borderId="0" xfId="0" applyFill="1"/>
    <xf numFmtId="0" fontId="1" fillId="15" borderId="0" xfId="0" applyFont="1" applyFill="1" applyAlignment="1">
      <alignment horizontal="center"/>
    </xf>
    <xf numFmtId="0" fontId="1" fillId="15" borderId="0" xfId="0" applyFont="1" applyFill="1"/>
    <xf numFmtId="0" fontId="1" fillId="15" borderId="54" xfId="0" applyFont="1" applyFill="1" applyBorder="1"/>
    <xf numFmtId="0" fontId="29" fillId="15" borderId="32" xfId="0" applyFont="1" applyFill="1" applyBorder="1" applyAlignment="1">
      <alignment vertical="center"/>
    </xf>
    <xf numFmtId="0" fontId="0" fillId="15" borderId="17" xfId="0" applyFill="1" applyBorder="1" applyAlignment="1">
      <alignment vertical="center"/>
    </xf>
    <xf numFmtId="0" fontId="0" fillId="15" borderId="17" xfId="0" applyFill="1" applyBorder="1"/>
    <xf numFmtId="0" fontId="0" fillId="15" borderId="3" xfId="0" applyFill="1" applyBorder="1"/>
    <xf numFmtId="0" fontId="0" fillId="15" borderId="3" xfId="0" applyFill="1" applyBorder="1" applyAlignment="1">
      <alignment vertical="center"/>
    </xf>
    <xf numFmtId="0" fontId="29" fillId="15" borderId="3" xfId="0" applyFont="1" applyFill="1" applyBorder="1" applyAlignment="1">
      <alignment vertical="center" wrapText="1"/>
    </xf>
    <xf numFmtId="0" fontId="29" fillId="15" borderId="17" xfId="0" applyFont="1" applyFill="1" applyBorder="1" applyAlignment="1">
      <alignment vertical="center" wrapText="1"/>
    </xf>
    <xf numFmtId="0" fontId="1" fillId="15" borderId="62" xfId="0" applyFont="1" applyFill="1" applyBorder="1" applyAlignment="1">
      <alignment horizontal="center" vertical="center"/>
    </xf>
    <xf numFmtId="0" fontId="0" fillId="15" borderId="64" xfId="0" applyFill="1" applyBorder="1" applyAlignment="1">
      <alignment horizontal="center" vertical="center" wrapText="1"/>
    </xf>
    <xf numFmtId="0" fontId="0" fillId="15" borderId="64" xfId="0" applyFill="1" applyBorder="1" applyAlignment="1">
      <alignment horizontal="center" vertical="center"/>
    </xf>
    <xf numFmtId="0" fontId="0" fillId="15" borderId="57" xfId="0" applyFill="1" applyBorder="1" applyAlignment="1">
      <alignment horizontal="center" vertical="center"/>
    </xf>
    <xf numFmtId="0" fontId="0" fillId="15" borderId="17" xfId="0" applyFill="1" applyBorder="1" applyAlignment="1">
      <alignment wrapText="1"/>
    </xf>
    <xf numFmtId="0" fontId="0" fillId="26" borderId="0" xfId="0" quotePrefix="1" applyFill="1"/>
    <xf numFmtId="0" fontId="0" fillId="26" borderId="65" xfId="0" quotePrefix="1" applyFill="1" applyBorder="1"/>
    <xf numFmtId="0" fontId="0" fillId="26" borderId="54" xfId="0" quotePrefix="1" applyFill="1" applyBorder="1"/>
    <xf numFmtId="0" fontId="0" fillId="4" borderId="0" xfId="0" applyFill="1" applyAlignment="1">
      <alignment vertical="top" wrapText="1"/>
    </xf>
    <xf numFmtId="0" fontId="1" fillId="0" borderId="0" xfId="0" applyFont="1" applyAlignment="1">
      <alignment horizontal="center" vertical="center"/>
    </xf>
    <xf numFmtId="0" fontId="0" fillId="0" borderId="0" xfId="0" applyAlignment="1">
      <alignment horizontal="center" vertical="center"/>
    </xf>
    <xf numFmtId="0" fontId="1" fillId="16" borderId="43" xfId="0" applyFont="1" applyFill="1" applyBorder="1" applyAlignment="1">
      <alignment horizontal="center"/>
    </xf>
    <xf numFmtId="0" fontId="19" fillId="18" borderId="39" xfId="0" applyFont="1" applyFill="1" applyBorder="1" applyAlignment="1">
      <alignment vertical="center" wrapText="1"/>
    </xf>
    <xf numFmtId="0" fontId="21" fillId="20" borderId="39" xfId="0" applyFont="1" applyFill="1" applyBorder="1" applyAlignment="1">
      <alignment vertical="center" wrapText="1"/>
    </xf>
    <xf numFmtId="0" fontId="20" fillId="19" borderId="1" xfId="0" applyFont="1" applyFill="1" applyBorder="1" applyAlignment="1">
      <alignment horizontal="center" vertical="center" wrapText="1"/>
    </xf>
    <xf numFmtId="0" fontId="1" fillId="16" borderId="41" xfId="0" applyFont="1" applyFill="1" applyBorder="1" applyAlignment="1">
      <alignment horizontal="center" vertical="center" wrapText="1"/>
    </xf>
    <xf numFmtId="0" fontId="1" fillId="16" borderId="21" xfId="0" applyFont="1" applyFill="1" applyBorder="1" applyAlignment="1">
      <alignment horizontal="center" vertical="center" wrapText="1"/>
    </xf>
    <xf numFmtId="0" fontId="1" fillId="15" borderId="64" xfId="0" applyFont="1" applyFill="1" applyBorder="1" applyAlignment="1">
      <alignment horizontal="center" vertical="center"/>
    </xf>
    <xf numFmtId="0" fontId="0" fillId="4" borderId="0" xfId="0" applyFill="1" applyAlignment="1">
      <alignment horizontal="center" vertical="center"/>
    </xf>
    <xf numFmtId="0" fontId="30" fillId="4" borderId="0" xfId="0" applyFont="1" applyFill="1" applyAlignment="1">
      <alignment horizontal="left"/>
    </xf>
    <xf numFmtId="14" fontId="30" fillId="4" borderId="0" xfId="0" applyNumberFormat="1" applyFont="1" applyFill="1" applyAlignment="1">
      <alignment horizontal="left"/>
    </xf>
    <xf numFmtId="0" fontId="25" fillId="5" borderId="36" xfId="1" applyFill="1" applyBorder="1" applyAlignment="1">
      <alignment horizontal="center" vertical="center"/>
    </xf>
    <xf numFmtId="0" fontId="25" fillId="5" borderId="49" xfId="1" applyFill="1" applyBorder="1" applyAlignment="1">
      <alignment horizontal="center" vertical="center"/>
    </xf>
    <xf numFmtId="0" fontId="1" fillId="16" borderId="12" xfId="0" applyFont="1" applyFill="1" applyBorder="1" applyAlignment="1">
      <alignment horizontal="center" vertical="center"/>
    </xf>
    <xf numFmtId="0" fontId="1" fillId="16" borderId="4" xfId="0" applyFont="1" applyFill="1" applyBorder="1" applyAlignment="1">
      <alignment horizontal="center" vertical="center"/>
    </xf>
    <xf numFmtId="0" fontId="1" fillId="16" borderId="5" xfId="0" applyFont="1" applyFill="1" applyBorder="1" applyAlignment="1">
      <alignment horizontal="center" vertical="center"/>
    </xf>
    <xf numFmtId="0" fontId="0" fillId="5" borderId="57" xfId="0" applyFill="1" applyBorder="1" applyAlignment="1">
      <alignment horizontal="center" vertical="center"/>
    </xf>
    <xf numFmtId="0" fontId="31" fillId="0" borderId="0" xfId="0" applyFont="1" applyAlignment="1">
      <alignment vertical="center"/>
    </xf>
    <xf numFmtId="0" fontId="31" fillId="4" borderId="0" xfId="0" applyFont="1" applyFill="1" applyAlignment="1">
      <alignment vertical="center"/>
    </xf>
    <xf numFmtId="0" fontId="0" fillId="5" borderId="69" xfId="0" applyFill="1" applyBorder="1" applyAlignment="1">
      <alignment horizontal="center" vertical="center"/>
    </xf>
    <xf numFmtId="0" fontId="0" fillId="5" borderId="17" xfId="0" applyFill="1" applyBorder="1" applyAlignment="1">
      <alignment horizontal="center" vertical="center"/>
    </xf>
    <xf numFmtId="0" fontId="1" fillId="16" borderId="31" xfId="0" applyFont="1" applyFill="1" applyBorder="1" applyAlignment="1">
      <alignment horizontal="center" vertical="center" wrapText="1"/>
    </xf>
    <xf numFmtId="3" fontId="0" fillId="5" borderId="57" xfId="0" applyNumberFormat="1" applyFill="1" applyBorder="1" applyAlignment="1">
      <alignment horizontal="center" vertical="center"/>
    </xf>
    <xf numFmtId="3" fontId="0" fillId="5" borderId="69" xfId="0" applyNumberFormat="1" applyFill="1" applyBorder="1" applyAlignment="1">
      <alignment horizontal="center" vertical="center"/>
    </xf>
    <xf numFmtId="0" fontId="1" fillId="16" borderId="56" xfId="0" applyFont="1" applyFill="1" applyBorder="1" applyAlignment="1">
      <alignment horizontal="right" indent="1"/>
    </xf>
    <xf numFmtId="0" fontId="1" fillId="16" borderId="3" xfId="0" applyFont="1" applyFill="1" applyBorder="1" applyAlignment="1">
      <alignment horizontal="right" indent="1"/>
    </xf>
    <xf numFmtId="167" fontId="0" fillId="16" borderId="2" xfId="0" applyNumberFormat="1" applyFill="1" applyBorder="1" applyAlignment="1">
      <alignment horizontal="right" vertical="center" indent="1"/>
    </xf>
    <xf numFmtId="166" fontId="0" fillId="6" borderId="7" xfId="0" applyNumberFormat="1" applyFill="1" applyBorder="1" applyAlignment="1">
      <alignment horizontal="right" vertical="center" indent="1"/>
    </xf>
    <xf numFmtId="166" fontId="0" fillId="6" borderId="61" xfId="0" applyNumberFormat="1" applyFill="1" applyBorder="1" applyAlignment="1">
      <alignment horizontal="right" vertical="center" indent="1"/>
    </xf>
    <xf numFmtId="166" fontId="0" fillId="6" borderId="59" xfId="0" applyNumberFormat="1" applyFill="1" applyBorder="1" applyAlignment="1">
      <alignment horizontal="right" vertical="center" indent="1"/>
    </xf>
    <xf numFmtId="166" fontId="0" fillId="6" borderId="51" xfId="0" applyNumberFormat="1" applyFill="1" applyBorder="1" applyAlignment="1">
      <alignment horizontal="right" vertical="center" indent="1"/>
    </xf>
    <xf numFmtId="0" fontId="0" fillId="2" borderId="36" xfId="0" applyFill="1" applyBorder="1" applyAlignment="1">
      <alignment horizontal="left" vertical="center" wrapText="1" indent="1"/>
    </xf>
    <xf numFmtId="0" fontId="0" fillId="2" borderId="37" xfId="0" applyFill="1" applyBorder="1" applyAlignment="1">
      <alignment horizontal="left" vertical="center" wrapText="1" indent="1"/>
    </xf>
    <xf numFmtId="0" fontId="0" fillId="2" borderId="38" xfId="0" applyFill="1" applyBorder="1" applyAlignment="1">
      <alignment horizontal="left" vertical="center" wrapText="1" indent="1"/>
    </xf>
    <xf numFmtId="0" fontId="0" fillId="2" borderId="2" xfId="0" applyFill="1" applyBorder="1" applyAlignment="1">
      <alignment horizontal="left" vertical="center" wrapText="1" indent="1"/>
    </xf>
    <xf numFmtId="0" fontId="0" fillId="2" borderId="8" xfId="0" applyFill="1" applyBorder="1" applyAlignment="1">
      <alignment horizontal="left" vertical="center" wrapText="1" indent="1"/>
    </xf>
    <xf numFmtId="0" fontId="0" fillId="2" borderId="9" xfId="0" applyFill="1" applyBorder="1" applyAlignment="1">
      <alignment horizontal="left" vertical="center" wrapText="1" indent="1"/>
    </xf>
    <xf numFmtId="0" fontId="0" fillId="2" borderId="10" xfId="0" applyFill="1" applyBorder="1" applyAlignment="1">
      <alignment horizontal="left" vertical="center" wrapText="1" indent="1"/>
    </xf>
    <xf numFmtId="0" fontId="0" fillId="2" borderId="11" xfId="0" applyFill="1" applyBorder="1" applyAlignment="1">
      <alignment horizontal="left" vertical="center" wrapText="1" indent="1"/>
    </xf>
    <xf numFmtId="0" fontId="0" fillId="2" borderId="30" xfId="0" applyFill="1" applyBorder="1" applyAlignment="1">
      <alignment horizontal="left" vertical="center" indent="1"/>
    </xf>
    <xf numFmtId="0" fontId="0" fillId="5" borderId="38" xfId="0" applyFill="1" applyBorder="1" applyAlignment="1">
      <alignment horizontal="left" vertical="center" indent="1"/>
    </xf>
    <xf numFmtId="0" fontId="0" fillId="5" borderId="8" xfId="0" applyFill="1" applyBorder="1" applyAlignment="1">
      <alignment horizontal="left" vertical="center" indent="1"/>
    </xf>
    <xf numFmtId="0" fontId="0" fillId="5" borderId="11" xfId="0" applyFill="1" applyBorder="1" applyAlignment="1">
      <alignment horizontal="left" vertical="center" indent="1"/>
    </xf>
    <xf numFmtId="0" fontId="0" fillId="2" borderId="6" xfId="0" applyFill="1" applyBorder="1" applyAlignment="1">
      <alignment horizontal="left" vertical="center" indent="1"/>
    </xf>
    <xf numFmtId="0" fontId="0" fillId="2" borderId="8" xfId="0" applyFill="1" applyBorder="1" applyAlignment="1">
      <alignment horizontal="left" vertical="center" indent="1"/>
    </xf>
    <xf numFmtId="0" fontId="0" fillId="2" borderId="11" xfId="0" applyFill="1" applyBorder="1" applyAlignment="1">
      <alignment horizontal="left" vertical="center" indent="1"/>
    </xf>
    <xf numFmtId="0" fontId="5" fillId="5" borderId="38" xfId="0" applyFont="1" applyFill="1" applyBorder="1" applyAlignment="1">
      <alignment horizontal="left" vertical="center" wrapText="1" indent="1"/>
    </xf>
    <xf numFmtId="0" fontId="5" fillId="5" borderId="42" xfId="0" applyFont="1" applyFill="1" applyBorder="1" applyAlignment="1">
      <alignment horizontal="left" vertical="center" wrapText="1" indent="1"/>
    </xf>
    <xf numFmtId="0" fontId="5" fillId="5" borderId="6" xfId="0" applyFont="1" applyFill="1" applyBorder="1" applyAlignment="1">
      <alignment horizontal="left" vertical="center" wrapText="1" indent="1"/>
    </xf>
    <xf numFmtId="0" fontId="1" fillId="16" borderId="6" xfId="0" applyFont="1" applyFill="1" applyBorder="1" applyAlignment="1">
      <alignment horizontal="center" vertical="center"/>
    </xf>
    <xf numFmtId="166" fontId="0" fillId="5" borderId="8" xfId="0" applyNumberFormat="1" applyFill="1" applyBorder="1" applyAlignment="1">
      <alignment horizontal="right" vertical="center"/>
    </xf>
    <xf numFmtId="166" fontId="0" fillId="5" borderId="11" xfId="0" applyNumberFormat="1" applyFill="1" applyBorder="1" applyAlignment="1">
      <alignment horizontal="right" vertical="center"/>
    </xf>
    <xf numFmtId="0" fontId="0" fillId="15" borderId="63" xfId="0" applyFill="1" applyBorder="1"/>
    <xf numFmtId="0" fontId="1" fillId="15" borderId="62" xfId="0" applyFont="1" applyFill="1" applyBorder="1"/>
    <xf numFmtId="0" fontId="1" fillId="15" borderId="17" xfId="0" applyFont="1" applyFill="1" applyBorder="1"/>
    <xf numFmtId="0" fontId="1" fillId="26" borderId="17" xfId="0" applyFont="1" applyFill="1" applyBorder="1"/>
    <xf numFmtId="0" fontId="0" fillId="26" borderId="17" xfId="0" applyFill="1" applyBorder="1"/>
    <xf numFmtId="0" fontId="0" fillId="26" borderId="3" xfId="0" applyFill="1" applyBorder="1"/>
    <xf numFmtId="0" fontId="30" fillId="4" borderId="0" xfId="0" applyFont="1" applyFill="1" applyAlignment="1">
      <alignment horizontal="right"/>
    </xf>
    <xf numFmtId="0" fontId="34" fillId="28" borderId="7" xfId="0" applyFont="1" applyFill="1" applyBorder="1" applyAlignment="1">
      <alignment horizontal="center"/>
    </xf>
    <xf numFmtId="0" fontId="35" fillId="28" borderId="55" xfId="0" applyFont="1" applyFill="1" applyBorder="1" applyAlignment="1">
      <alignment horizontal="right" indent="1"/>
    </xf>
    <xf numFmtId="167" fontId="34" fillId="28" borderId="2" xfId="0" applyNumberFormat="1" applyFont="1" applyFill="1" applyBorder="1" applyAlignment="1">
      <alignment horizontal="right" vertical="center" indent="1"/>
    </xf>
    <xf numFmtId="0" fontId="28" fillId="4" borderId="60" xfId="0" applyFont="1" applyFill="1" applyBorder="1" applyAlignment="1">
      <alignment wrapText="1"/>
    </xf>
    <xf numFmtId="0" fontId="0" fillId="4" borderId="60" xfId="0" applyFill="1" applyBorder="1" applyAlignment="1">
      <alignment wrapText="1"/>
    </xf>
    <xf numFmtId="0" fontId="0" fillId="4" borderId="55" xfId="0" applyFill="1" applyBorder="1" applyAlignment="1">
      <alignment horizontal="right" vertical="top"/>
    </xf>
    <xf numFmtId="0" fontId="0" fillId="4" borderId="55" xfId="0" applyFill="1" applyBorder="1" applyAlignment="1">
      <alignment horizontal="left" vertical="top" wrapText="1"/>
    </xf>
    <xf numFmtId="0" fontId="0" fillId="0" borderId="0" xfId="0" applyAlignment="1">
      <alignment vertical="top"/>
    </xf>
    <xf numFmtId="0" fontId="0" fillId="2" borderId="0" xfId="0" applyFill="1"/>
    <xf numFmtId="0" fontId="1" fillId="2" borderId="0" xfId="0" applyFont="1" applyFill="1"/>
    <xf numFmtId="0" fontId="1" fillId="15" borderId="55" xfId="0" applyFont="1" applyFill="1" applyBorder="1" applyAlignment="1">
      <alignment vertical="center"/>
    </xf>
    <xf numFmtId="0" fontId="1" fillId="15" borderId="63" xfId="0" applyFont="1" applyFill="1" applyBorder="1" applyAlignment="1">
      <alignment horizontal="center" vertical="center"/>
    </xf>
    <xf numFmtId="0" fontId="0" fillId="26" borderId="63" xfId="0" quotePrefix="1" applyFill="1" applyBorder="1"/>
    <xf numFmtId="0" fontId="0" fillId="26" borderId="57" xfId="0" quotePrefix="1" applyFill="1" applyBorder="1"/>
    <xf numFmtId="0" fontId="0" fillId="0" borderId="15" xfId="0" applyBorder="1" applyAlignment="1">
      <alignment horizontal="center"/>
    </xf>
    <xf numFmtId="0" fontId="0" fillId="0" borderId="15" xfId="0" quotePrefix="1" applyBorder="1" applyAlignment="1">
      <alignment horizontal="center"/>
    </xf>
    <xf numFmtId="0" fontId="0" fillId="0" borderId="0" xfId="0" quotePrefix="1" applyAlignment="1">
      <alignment horizontal="center"/>
    </xf>
    <xf numFmtId="0" fontId="1" fillId="0" borderId="0" xfId="0" applyFont="1" applyAlignment="1">
      <alignment horizontal="center"/>
    </xf>
    <xf numFmtId="14" fontId="0" fillId="2" borderId="52" xfId="0" applyNumberFormat="1" applyFill="1" applyBorder="1" applyAlignment="1">
      <alignment horizontal="center" vertical="center"/>
    </xf>
    <xf numFmtId="14" fontId="0" fillId="2" borderId="13" xfId="0" applyNumberFormat="1" applyFill="1" applyBorder="1" applyAlignment="1">
      <alignment horizontal="center" vertical="center"/>
    </xf>
    <xf numFmtId="14" fontId="0" fillId="2" borderId="14" xfId="0" applyNumberFormat="1" applyFill="1" applyBorder="1" applyAlignment="1">
      <alignment horizontal="center" vertical="center"/>
    </xf>
    <xf numFmtId="0" fontId="13" fillId="4" borderId="0" xfId="0" applyFont="1" applyFill="1" applyAlignment="1">
      <alignment horizontal="center"/>
    </xf>
    <xf numFmtId="16" fontId="13" fillId="4" borderId="0" xfId="0" applyNumberFormat="1" applyFont="1" applyFill="1" applyAlignment="1">
      <alignment horizontal="center" vertical="center"/>
    </xf>
    <xf numFmtId="0" fontId="13" fillId="4" borderId="0" xfId="0" applyFont="1" applyFill="1" applyAlignment="1">
      <alignment horizontal="center" vertical="center"/>
    </xf>
    <xf numFmtId="0" fontId="13" fillId="4" borderId="0" xfId="0" applyFont="1" applyFill="1" applyAlignment="1">
      <alignment horizontal="left" vertical="top" wrapText="1"/>
    </xf>
    <xf numFmtId="0" fontId="1" fillId="16" borderId="31" xfId="0" applyFont="1" applyFill="1" applyBorder="1" applyAlignment="1">
      <alignment horizontal="center" vertical="center" wrapText="1"/>
    </xf>
    <xf numFmtId="0" fontId="1" fillId="16" borderId="34" xfId="0" applyFont="1" applyFill="1" applyBorder="1" applyAlignment="1">
      <alignment horizontal="center" vertical="center" wrapText="1"/>
    </xf>
    <xf numFmtId="0" fontId="25" fillId="4" borderId="0" xfId="1" applyFill="1" applyBorder="1" applyAlignment="1">
      <alignment horizontal="left" vertical="top" wrapText="1"/>
    </xf>
    <xf numFmtId="0" fontId="1" fillId="16" borderId="4" xfId="0" applyFont="1" applyFill="1" applyBorder="1" applyAlignment="1">
      <alignment horizontal="right" vertical="center" indent="1"/>
    </xf>
    <xf numFmtId="0" fontId="1" fillId="16" borderId="5" xfId="0" applyFont="1" applyFill="1" applyBorder="1" applyAlignment="1">
      <alignment horizontal="right" vertical="center" indent="1"/>
    </xf>
    <xf numFmtId="0" fontId="1" fillId="16" borderId="7" xfId="0" applyFont="1" applyFill="1" applyBorder="1" applyAlignment="1">
      <alignment horizontal="right" vertical="center" indent="1"/>
    </xf>
    <xf numFmtId="0" fontId="1" fillId="16" borderId="2" xfId="0" applyFont="1" applyFill="1" applyBorder="1" applyAlignment="1">
      <alignment horizontal="right" vertical="center" indent="1"/>
    </xf>
    <xf numFmtId="0" fontId="1" fillId="16" borderId="9" xfId="0" applyFont="1" applyFill="1" applyBorder="1" applyAlignment="1">
      <alignment horizontal="right" vertical="center" indent="1"/>
    </xf>
    <xf numFmtId="0" fontId="1" fillId="16" borderId="10" xfId="0" applyFont="1" applyFill="1" applyBorder="1" applyAlignment="1">
      <alignment horizontal="right" vertical="center" indent="1"/>
    </xf>
    <xf numFmtId="0" fontId="23" fillId="4" borderId="0" xfId="0" applyFont="1" applyFill="1" applyAlignment="1">
      <alignment horizontal="left" vertical="center"/>
    </xf>
    <xf numFmtId="0" fontId="11" fillId="4" borderId="0" xfId="0" applyFont="1" applyFill="1" applyAlignment="1">
      <alignment horizontal="center" vertical="center"/>
    </xf>
    <xf numFmtId="0" fontId="11" fillId="4" borderId="16" xfId="0" applyFont="1" applyFill="1" applyBorder="1" applyAlignment="1">
      <alignment horizontal="center" vertical="center"/>
    </xf>
    <xf numFmtId="0" fontId="18" fillId="4" borderId="0" xfId="0" applyFont="1" applyFill="1" applyAlignment="1">
      <alignment horizontal="left"/>
    </xf>
    <xf numFmtId="166" fontId="0" fillId="6" borderId="2" xfId="0" applyNumberFormat="1" applyFill="1" applyBorder="1" applyAlignment="1">
      <alignment horizontal="right" vertical="center" indent="1"/>
    </xf>
    <xf numFmtId="166" fontId="0" fillId="6" borderId="8" xfId="0" applyNumberFormat="1" applyFill="1" applyBorder="1" applyAlignment="1">
      <alignment horizontal="right" vertical="center" indent="1"/>
    </xf>
    <xf numFmtId="166" fontId="0" fillId="6" borderId="37" xfId="0" applyNumberFormat="1" applyFill="1" applyBorder="1" applyAlignment="1">
      <alignment horizontal="right" vertical="center" indent="1"/>
    </xf>
    <xf numFmtId="166" fontId="0" fillId="6" borderId="38" xfId="0" applyNumberFormat="1" applyFill="1" applyBorder="1" applyAlignment="1">
      <alignment horizontal="right" vertical="center" indent="1"/>
    </xf>
    <xf numFmtId="0" fontId="1" fillId="16" borderId="41" xfId="0" applyFont="1" applyFill="1" applyBorder="1" applyAlignment="1">
      <alignment horizontal="center" vertical="center" wrapText="1"/>
    </xf>
    <xf numFmtId="0" fontId="1" fillId="16" borderId="21" xfId="0" applyFont="1" applyFill="1" applyBorder="1" applyAlignment="1">
      <alignment horizontal="center" vertical="center" wrapText="1"/>
    </xf>
    <xf numFmtId="0" fontId="1" fillId="16" borderId="21" xfId="0" applyFont="1" applyFill="1" applyBorder="1" applyAlignment="1">
      <alignment horizontal="right" vertical="center"/>
    </xf>
    <xf numFmtId="0" fontId="1" fillId="16" borderId="36" xfId="0" applyFont="1" applyFill="1" applyBorder="1" applyAlignment="1">
      <alignment horizontal="center" vertical="center"/>
    </xf>
    <xf numFmtId="0" fontId="1" fillId="16" borderId="37" xfId="0" applyFont="1" applyFill="1" applyBorder="1" applyAlignment="1">
      <alignment horizontal="center" vertical="center"/>
    </xf>
    <xf numFmtId="0" fontId="1" fillId="16" borderId="7" xfId="0" applyFont="1" applyFill="1" applyBorder="1" applyAlignment="1">
      <alignment horizontal="center" vertical="center"/>
    </xf>
    <xf numFmtId="0" fontId="1" fillId="16" borderId="2" xfId="0" applyFont="1" applyFill="1" applyBorder="1" applyAlignment="1">
      <alignment horizontal="center" vertical="center"/>
    </xf>
    <xf numFmtId="0" fontId="1" fillId="16" borderId="9" xfId="0" applyFont="1" applyFill="1" applyBorder="1" applyAlignment="1">
      <alignment horizontal="center" vertical="center"/>
    </xf>
    <xf numFmtId="0" fontId="1" fillId="16" borderId="10" xfId="0" applyFont="1" applyFill="1" applyBorder="1" applyAlignment="1">
      <alignment horizontal="center" vertical="center"/>
    </xf>
    <xf numFmtId="3" fontId="5" fillId="5" borderId="58" xfId="0" applyNumberFormat="1" applyFont="1" applyFill="1" applyBorder="1" applyAlignment="1">
      <alignment horizontal="center" vertical="center" wrapText="1"/>
    </xf>
    <xf numFmtId="3" fontId="5" fillId="5" borderId="22" xfId="0" applyNumberFormat="1" applyFont="1" applyFill="1" applyBorder="1" applyAlignment="1">
      <alignment horizontal="center" vertical="center" wrapText="1"/>
    </xf>
    <xf numFmtId="3" fontId="5" fillId="5" borderId="71" xfId="0" applyNumberFormat="1" applyFont="1" applyFill="1" applyBorder="1" applyAlignment="1">
      <alignment horizontal="center" vertical="center" wrapText="1"/>
    </xf>
    <xf numFmtId="3" fontId="5" fillId="5" borderId="23" xfId="0" applyNumberFormat="1" applyFont="1" applyFill="1" applyBorder="1" applyAlignment="1">
      <alignment horizontal="center" vertical="center" wrapText="1"/>
    </xf>
    <xf numFmtId="3" fontId="5" fillId="5" borderId="34" xfId="0" applyNumberFormat="1" applyFont="1" applyFill="1" applyBorder="1" applyAlignment="1">
      <alignment horizontal="center" vertical="center" wrapText="1"/>
    </xf>
    <xf numFmtId="3" fontId="5" fillId="5" borderId="25" xfId="0" applyNumberFormat="1" applyFont="1" applyFill="1" applyBorder="1" applyAlignment="1">
      <alignment horizontal="center" vertical="center" wrapText="1"/>
    </xf>
    <xf numFmtId="3" fontId="5" fillId="5" borderId="35" xfId="0" applyNumberFormat="1" applyFont="1" applyFill="1" applyBorder="1" applyAlignment="1">
      <alignment horizontal="center" vertical="center" wrapText="1"/>
    </xf>
    <xf numFmtId="3" fontId="5" fillId="5" borderId="27" xfId="0" applyNumberFormat="1" applyFont="1" applyFill="1" applyBorder="1" applyAlignment="1">
      <alignment horizontal="center" vertical="center" wrapText="1"/>
    </xf>
    <xf numFmtId="0" fontId="0" fillId="2" borderId="32" xfId="0" applyFill="1" applyBorder="1" applyAlignment="1">
      <alignment horizontal="left" vertical="center" wrapText="1" indent="1"/>
    </xf>
    <xf numFmtId="0" fontId="0" fillId="2" borderId="3" xfId="0" applyFill="1" applyBorder="1" applyAlignment="1">
      <alignment horizontal="left" vertical="center" wrapText="1" indent="1"/>
    </xf>
    <xf numFmtId="0" fontId="0" fillId="2" borderId="33" xfId="0" applyFill="1" applyBorder="1" applyAlignment="1">
      <alignment horizontal="left" vertical="center" wrapText="1" indent="1"/>
    </xf>
    <xf numFmtId="0" fontId="0" fillId="2" borderId="23" xfId="0" applyFill="1" applyBorder="1" applyAlignment="1">
      <alignment horizontal="left" vertical="center" wrapText="1" indent="1"/>
    </xf>
    <xf numFmtId="0" fontId="0" fillId="2" borderId="31" xfId="0" applyFill="1" applyBorder="1" applyAlignment="1">
      <alignment horizontal="left" vertical="center" wrapText="1" indent="1"/>
    </xf>
    <xf numFmtId="0" fontId="0" fillId="2" borderId="22" xfId="0" applyFill="1" applyBorder="1" applyAlignment="1">
      <alignment horizontal="left" vertical="center" wrapText="1" indent="1"/>
    </xf>
    <xf numFmtId="166" fontId="0" fillId="9" borderId="53" xfId="0" applyNumberFormat="1" applyFill="1" applyBorder="1" applyAlignment="1">
      <alignment horizontal="right" vertical="center" indent="1"/>
    </xf>
    <xf numFmtId="166" fontId="0" fillId="9" borderId="21" xfId="0" applyNumberFormat="1" applyFill="1" applyBorder="1" applyAlignment="1">
      <alignment horizontal="right" vertical="center" indent="1"/>
    </xf>
    <xf numFmtId="166" fontId="0" fillId="9" borderId="30" xfId="0" applyNumberFormat="1" applyFill="1" applyBorder="1" applyAlignment="1">
      <alignment horizontal="right" vertical="center" indent="1"/>
    </xf>
    <xf numFmtId="0" fontId="1" fillId="16" borderId="52" xfId="0" applyFont="1" applyFill="1" applyBorder="1" applyAlignment="1">
      <alignment horizontal="center" vertical="center" wrapText="1"/>
    </xf>
    <xf numFmtId="0" fontId="1" fillId="16" borderId="53" xfId="0" applyFont="1" applyFill="1" applyBorder="1" applyAlignment="1">
      <alignment horizontal="center" vertical="center" wrapText="1"/>
    </xf>
    <xf numFmtId="0" fontId="32" fillId="27" borderId="0" xfId="0" applyFont="1" applyFill="1" applyAlignment="1">
      <alignment horizontal="center" vertical="center"/>
    </xf>
    <xf numFmtId="0" fontId="33" fillId="27" borderId="0" xfId="0" applyFont="1" applyFill="1" applyAlignment="1">
      <alignment horizontal="center" vertical="center"/>
    </xf>
    <xf numFmtId="0" fontId="0" fillId="2" borderId="69" xfId="0" applyFill="1" applyBorder="1" applyAlignment="1">
      <alignment horizontal="left" vertical="center" wrapText="1" indent="1"/>
    </xf>
    <xf numFmtId="0" fontId="0" fillId="2" borderId="70" xfId="0" applyFill="1" applyBorder="1" applyAlignment="1">
      <alignment horizontal="left" vertical="center" wrapText="1" indent="1"/>
    </xf>
    <xf numFmtId="0" fontId="1" fillId="16" borderId="58" xfId="0" applyFont="1" applyFill="1" applyBorder="1" applyAlignment="1">
      <alignment horizontal="center"/>
    </xf>
    <xf numFmtId="0" fontId="1" fillId="16" borderId="34" xfId="0" applyFont="1" applyFill="1" applyBorder="1" applyAlignment="1">
      <alignment horizontal="center"/>
    </xf>
    <xf numFmtId="0" fontId="1" fillId="16" borderId="25" xfId="0" applyFont="1" applyFill="1" applyBorder="1" applyAlignment="1">
      <alignment horizontal="center"/>
    </xf>
    <xf numFmtId="0" fontId="0" fillId="5" borderId="67" xfId="0" applyFill="1" applyBorder="1" applyAlignment="1">
      <alignment horizontal="left" vertical="top" wrapText="1" indent="1"/>
    </xf>
    <xf numFmtId="0" fontId="0" fillId="5" borderId="55" xfId="0" applyFill="1" applyBorder="1" applyAlignment="1">
      <alignment horizontal="left" vertical="top" wrapText="1" indent="1"/>
    </xf>
    <xf numFmtId="0" fontId="0" fillId="5" borderId="68" xfId="0" applyFill="1" applyBorder="1" applyAlignment="1">
      <alignment horizontal="left" vertical="top" wrapText="1" indent="1"/>
    </xf>
    <xf numFmtId="0" fontId="0" fillId="5" borderId="45" xfId="0" applyFill="1" applyBorder="1" applyAlignment="1">
      <alignment horizontal="left" vertical="top" wrapText="1" indent="1"/>
    </xf>
    <xf numFmtId="0" fontId="0" fillId="5" borderId="0" xfId="0" applyFill="1" applyAlignment="1">
      <alignment horizontal="left" vertical="top" wrapText="1" indent="1"/>
    </xf>
    <xf numFmtId="0" fontId="0" fillId="5" borderId="20" xfId="0" applyFill="1" applyBorder="1" applyAlignment="1">
      <alignment horizontal="left" vertical="top" wrapText="1" indent="1"/>
    </xf>
    <xf numFmtId="0" fontId="0" fillId="5" borderId="28" xfId="0" applyFill="1" applyBorder="1" applyAlignment="1">
      <alignment horizontal="left" vertical="top" wrapText="1" indent="1"/>
    </xf>
    <xf numFmtId="0" fontId="0" fillId="5" borderId="16" xfId="0" applyFill="1" applyBorder="1" applyAlignment="1">
      <alignment horizontal="left" vertical="top" wrapText="1" indent="1"/>
    </xf>
    <xf numFmtId="0" fontId="0" fillId="5" borderId="29" xfId="0" applyFill="1" applyBorder="1" applyAlignment="1">
      <alignment horizontal="left" vertical="top" wrapText="1" indent="1"/>
    </xf>
    <xf numFmtId="0" fontId="1" fillId="16" borderId="12" xfId="0" applyFont="1" applyFill="1" applyBorder="1" applyAlignment="1">
      <alignment horizontal="right" indent="1"/>
    </xf>
    <xf numFmtId="0" fontId="1" fillId="16" borderId="13" xfId="0" applyFont="1" applyFill="1" applyBorder="1" applyAlignment="1">
      <alignment horizontal="right" indent="1"/>
    </xf>
    <xf numFmtId="0" fontId="1" fillId="16" borderId="53" xfId="0" applyFont="1" applyFill="1" applyBorder="1" applyAlignment="1">
      <alignment horizontal="right" indent="1"/>
    </xf>
    <xf numFmtId="166" fontId="1" fillId="9" borderId="13" xfId="0" applyNumberFormat="1" applyFont="1" applyFill="1" applyBorder="1" applyAlignment="1">
      <alignment horizontal="right" indent="1"/>
    </xf>
    <xf numFmtId="166" fontId="1" fillId="9" borderId="14" xfId="0" applyNumberFormat="1" applyFont="1" applyFill="1" applyBorder="1" applyAlignment="1">
      <alignment horizontal="right" indent="1"/>
    </xf>
    <xf numFmtId="0" fontId="0" fillId="5" borderId="66" xfId="0" applyFill="1" applyBorder="1" applyAlignment="1">
      <alignment horizontal="left" vertical="top" wrapText="1" indent="1"/>
    </xf>
    <xf numFmtId="0" fontId="0" fillId="5" borderId="60" xfId="0" applyFill="1" applyBorder="1" applyAlignment="1">
      <alignment horizontal="left" vertical="top" wrapText="1" indent="1"/>
    </xf>
    <xf numFmtId="0" fontId="0" fillId="5" borderId="39" xfId="0" applyFill="1" applyBorder="1" applyAlignment="1">
      <alignment horizontal="left" vertical="top" wrapText="1" indent="1"/>
    </xf>
    <xf numFmtId="0" fontId="0" fillId="5" borderId="44" xfId="0" applyFill="1" applyBorder="1" applyAlignment="1">
      <alignment horizontal="left" vertical="top" wrapText="1" indent="1"/>
    </xf>
    <xf numFmtId="166" fontId="34" fillId="28" borderId="2" xfId="0" applyNumberFormat="1" applyFont="1" applyFill="1" applyBorder="1" applyAlignment="1">
      <alignment horizontal="right" vertical="center" indent="1"/>
    </xf>
    <xf numFmtId="166" fontId="34" fillId="28" borderId="8" xfId="0" applyNumberFormat="1" applyFont="1" applyFill="1" applyBorder="1" applyAlignment="1">
      <alignment horizontal="right" vertical="center" indent="1"/>
    </xf>
    <xf numFmtId="166" fontId="0" fillId="6" borderId="2" xfId="0" applyNumberFormat="1" applyFill="1" applyBorder="1" applyAlignment="1">
      <alignment horizontal="right" vertical="center"/>
    </xf>
    <xf numFmtId="166" fontId="0" fillId="6" borderId="8" xfId="0" applyNumberFormat="1" applyFill="1" applyBorder="1" applyAlignment="1">
      <alignment horizontal="right" vertical="center"/>
    </xf>
    <xf numFmtId="3" fontId="16" fillId="5" borderId="34" xfId="0" applyNumberFormat="1" applyFont="1" applyFill="1" applyBorder="1" applyAlignment="1">
      <alignment horizontal="left" vertical="top" wrapText="1"/>
    </xf>
    <xf numFmtId="3" fontId="16" fillId="5" borderId="25" xfId="0" applyNumberFormat="1" applyFont="1" applyFill="1" applyBorder="1" applyAlignment="1">
      <alignment horizontal="left" vertical="top" wrapText="1"/>
    </xf>
    <xf numFmtId="3" fontId="16" fillId="5" borderId="35" xfId="0" applyNumberFormat="1" applyFont="1" applyFill="1" applyBorder="1" applyAlignment="1">
      <alignment horizontal="left" vertical="top" wrapText="1"/>
    </xf>
    <xf numFmtId="3" fontId="16" fillId="5" borderId="27" xfId="0" applyNumberFormat="1" applyFont="1" applyFill="1" applyBorder="1" applyAlignment="1">
      <alignment horizontal="left" vertical="top" wrapText="1"/>
    </xf>
    <xf numFmtId="0" fontId="1" fillId="5" borderId="12" xfId="0" applyFont="1" applyFill="1" applyBorder="1" applyAlignment="1">
      <alignment horizontal="right"/>
    </xf>
    <xf numFmtId="0" fontId="1" fillId="5" borderId="13" xfId="0" applyFont="1" applyFill="1" applyBorder="1" applyAlignment="1">
      <alignment horizontal="right"/>
    </xf>
    <xf numFmtId="0" fontId="1" fillId="5" borderId="14" xfId="0" applyFont="1" applyFill="1" applyBorder="1" applyAlignment="1">
      <alignment horizontal="right"/>
    </xf>
    <xf numFmtId="166" fontId="0" fillId="9" borderId="21" xfId="0" applyNumberFormat="1" applyFill="1" applyBorder="1" applyAlignment="1">
      <alignment horizontal="right" vertical="center"/>
    </xf>
    <xf numFmtId="166" fontId="0" fillId="9" borderId="30" xfId="0" applyNumberFormat="1" applyFill="1" applyBorder="1" applyAlignment="1">
      <alignment horizontal="right" vertical="center"/>
    </xf>
    <xf numFmtId="166" fontId="0" fillId="6" borderId="37" xfId="0" applyNumberFormat="1" applyFill="1" applyBorder="1" applyAlignment="1">
      <alignment horizontal="right" vertical="center"/>
    </xf>
    <xf numFmtId="166" fontId="0" fillId="6" borderId="38" xfId="0" applyNumberFormat="1" applyFill="1" applyBorder="1" applyAlignment="1">
      <alignment horizontal="right" vertical="center"/>
    </xf>
    <xf numFmtId="0" fontId="0" fillId="4" borderId="13" xfId="0" applyFill="1" applyBorder="1" applyAlignment="1">
      <alignment horizontal="left" vertical="center"/>
    </xf>
    <xf numFmtId="0" fontId="9" fillId="8" borderId="13" xfId="0" applyFont="1" applyFill="1" applyBorder="1" applyAlignment="1">
      <alignment horizontal="center" vertical="center"/>
    </xf>
    <xf numFmtId="0" fontId="4" fillId="4" borderId="0" xfId="0" applyFont="1" applyFill="1" applyAlignment="1">
      <alignment horizontal="left" vertical="top" wrapText="1"/>
    </xf>
    <xf numFmtId="0" fontId="4" fillId="4" borderId="16" xfId="0" applyFont="1" applyFill="1" applyBorder="1" applyAlignment="1">
      <alignment horizontal="left" vertical="top" wrapText="1"/>
    </xf>
    <xf numFmtId="0" fontId="12" fillId="4" borderId="0" xfId="0" applyFont="1" applyFill="1" applyAlignment="1">
      <alignment horizontal="center" vertical="center" wrapText="1"/>
    </xf>
    <xf numFmtId="0" fontId="8" fillId="4" borderId="18"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 fillId="5" borderId="18" xfId="0" applyFont="1" applyFill="1" applyBorder="1" applyAlignment="1">
      <alignment horizontal="right" vertical="center" wrapText="1"/>
    </xf>
    <xf numFmtId="0" fontId="1" fillId="5" borderId="15" xfId="0" applyFont="1" applyFill="1" applyBorder="1" applyAlignment="1">
      <alignment horizontal="right" vertical="center"/>
    </xf>
    <xf numFmtId="0" fontId="1" fillId="5" borderId="28" xfId="0" applyFont="1" applyFill="1" applyBorder="1" applyAlignment="1">
      <alignment horizontal="right" vertical="center"/>
    </xf>
    <xf numFmtId="0" fontId="1" fillId="5" borderId="16" xfId="0" applyFont="1" applyFill="1" applyBorder="1" applyAlignment="1">
      <alignment horizontal="right" vertical="center"/>
    </xf>
    <xf numFmtId="166" fontId="11" fillId="5" borderId="15" xfId="0" applyNumberFormat="1" applyFont="1" applyFill="1" applyBorder="1" applyAlignment="1">
      <alignment horizontal="center" vertical="center"/>
    </xf>
    <xf numFmtId="166" fontId="11" fillId="5" borderId="19" xfId="0" applyNumberFormat="1" applyFont="1" applyFill="1" applyBorder="1" applyAlignment="1">
      <alignment horizontal="center" vertical="center"/>
    </xf>
    <xf numFmtId="166" fontId="11" fillId="5" borderId="16" xfId="0" applyNumberFormat="1" applyFont="1" applyFill="1" applyBorder="1" applyAlignment="1">
      <alignment horizontal="center" vertical="center"/>
    </xf>
    <xf numFmtId="166" fontId="11" fillId="5" borderId="29" xfId="0" applyNumberFormat="1" applyFont="1" applyFill="1" applyBorder="1" applyAlignment="1">
      <alignment horizontal="center" vertical="center"/>
    </xf>
    <xf numFmtId="0" fontId="3" fillId="12" borderId="18" xfId="0" applyFont="1" applyFill="1" applyBorder="1" applyAlignment="1">
      <alignment horizontal="center" vertical="center" wrapText="1"/>
    </xf>
    <xf numFmtId="0" fontId="3" fillId="12" borderId="15" xfId="0" applyFont="1" applyFill="1" applyBorder="1" applyAlignment="1">
      <alignment horizontal="center" vertical="center" wrapText="1"/>
    </xf>
    <xf numFmtId="0" fontId="3" fillId="12" borderId="19" xfId="0" applyFont="1" applyFill="1" applyBorder="1" applyAlignment="1">
      <alignment horizontal="center" vertical="center" wrapText="1"/>
    </xf>
    <xf numFmtId="0" fontId="3" fillId="13" borderId="18" xfId="0" applyFont="1" applyFill="1" applyBorder="1" applyAlignment="1">
      <alignment horizontal="center" vertical="center" wrapText="1"/>
    </xf>
    <xf numFmtId="0" fontId="3" fillId="13" borderId="15" xfId="0" applyFont="1" applyFill="1" applyBorder="1" applyAlignment="1">
      <alignment horizontal="center" vertical="center" wrapText="1"/>
    </xf>
    <xf numFmtId="0" fontId="3" fillId="13" borderId="19" xfId="0" applyFont="1" applyFill="1" applyBorder="1" applyAlignment="1">
      <alignment horizontal="center" vertical="center" wrapText="1"/>
    </xf>
    <xf numFmtId="0" fontId="0" fillId="4" borderId="18"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45" xfId="0" applyFill="1" applyBorder="1" applyAlignment="1">
      <alignment horizontal="center" vertical="center" wrapText="1"/>
    </xf>
    <xf numFmtId="0" fontId="0" fillId="4" borderId="0" xfId="0" applyFill="1" applyAlignment="1">
      <alignment horizontal="center" vertical="center" wrapText="1"/>
    </xf>
    <xf numFmtId="0" fontId="0" fillId="4" borderId="20" xfId="0" applyFill="1" applyBorder="1" applyAlignment="1">
      <alignment horizontal="center" vertical="center" wrapText="1"/>
    </xf>
    <xf numFmtId="0" fontId="0" fillId="4" borderId="28"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18" xfId="0" applyFill="1" applyBorder="1" applyAlignment="1">
      <alignment horizontal="center"/>
    </xf>
    <xf numFmtId="0" fontId="0" fillId="4" borderId="15" xfId="0" applyFill="1" applyBorder="1" applyAlignment="1">
      <alignment horizontal="center"/>
    </xf>
    <xf numFmtId="0" fontId="0" fillId="4" borderId="19" xfId="0" applyFill="1" applyBorder="1" applyAlignment="1">
      <alignment horizontal="center"/>
    </xf>
    <xf numFmtId="0" fontId="0" fillId="4" borderId="45" xfId="0" applyFill="1" applyBorder="1" applyAlignment="1">
      <alignment horizontal="center"/>
    </xf>
    <xf numFmtId="0" fontId="0" fillId="4" borderId="0" xfId="0" applyFill="1" applyAlignment="1">
      <alignment horizontal="center"/>
    </xf>
    <xf numFmtId="0" fontId="0" fillId="4" borderId="20" xfId="0" applyFill="1" applyBorder="1" applyAlignment="1">
      <alignment horizontal="center"/>
    </xf>
    <xf numFmtId="0" fontId="0" fillId="4" borderId="28" xfId="0" applyFill="1" applyBorder="1" applyAlignment="1">
      <alignment horizontal="center"/>
    </xf>
    <xf numFmtId="0" fontId="0" fillId="4" borderId="16" xfId="0" applyFill="1" applyBorder="1" applyAlignment="1">
      <alignment horizontal="center"/>
    </xf>
    <xf numFmtId="0" fontId="0" fillId="4" borderId="29" xfId="0" applyFill="1" applyBorder="1" applyAlignment="1">
      <alignment horizontal="center"/>
    </xf>
    <xf numFmtId="0" fontId="1" fillId="10" borderId="15" xfId="0" applyFont="1" applyFill="1" applyBorder="1" applyAlignment="1">
      <alignment horizontal="center" vertical="center" wrapText="1"/>
    </xf>
    <xf numFmtId="0" fontId="1" fillId="10" borderId="19"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11" borderId="15" xfId="0" applyFont="1" applyFill="1" applyBorder="1" applyAlignment="1">
      <alignment horizontal="center" vertical="center" wrapText="1"/>
    </xf>
    <xf numFmtId="0" fontId="3" fillId="11" borderId="19" xfId="0" applyFont="1" applyFill="1" applyBorder="1" applyAlignment="1">
      <alignment horizontal="center" vertical="center" wrapText="1"/>
    </xf>
    <xf numFmtId="0" fontId="1" fillId="7" borderId="52" xfId="0" applyFont="1" applyFill="1" applyBorder="1" applyAlignment="1">
      <alignment horizontal="center" vertical="center" wrapText="1"/>
    </xf>
    <xf numFmtId="0" fontId="1" fillId="7" borderId="53" xfId="0" applyFont="1" applyFill="1" applyBorder="1" applyAlignment="1">
      <alignment horizontal="center" vertical="center" wrapText="1"/>
    </xf>
    <xf numFmtId="0" fontId="0" fillId="2" borderId="31" xfId="0" applyFill="1" applyBorder="1" applyAlignment="1">
      <alignment horizontal="left" vertical="center" wrapText="1"/>
    </xf>
    <xf numFmtId="0" fontId="0" fillId="2" borderId="22" xfId="0" applyFill="1" applyBorder="1" applyAlignment="1">
      <alignment horizontal="left" vertical="center" wrapText="1"/>
    </xf>
    <xf numFmtId="0" fontId="0" fillId="2" borderId="32" xfId="0" applyFill="1" applyBorder="1" applyAlignment="1">
      <alignment horizontal="left" vertical="center" wrapText="1"/>
    </xf>
    <xf numFmtId="0" fontId="0" fillId="2" borderId="3" xfId="0" applyFill="1" applyBorder="1" applyAlignment="1">
      <alignment horizontal="left" vertical="center" wrapText="1"/>
    </xf>
    <xf numFmtId="166" fontId="1" fillId="5" borderId="13" xfId="0" applyNumberFormat="1" applyFont="1" applyFill="1" applyBorder="1" applyAlignment="1">
      <alignment horizontal="right"/>
    </xf>
    <xf numFmtId="166" fontId="1" fillId="5" borderId="14" xfId="0" applyNumberFormat="1" applyFont="1" applyFill="1" applyBorder="1" applyAlignment="1">
      <alignment horizontal="right"/>
    </xf>
    <xf numFmtId="0" fontId="0" fillId="2" borderId="33" xfId="0" applyFill="1" applyBorder="1" applyAlignment="1">
      <alignment horizontal="left" vertical="center" wrapText="1"/>
    </xf>
    <xf numFmtId="0" fontId="0" fillId="2" borderId="23" xfId="0" applyFill="1" applyBorder="1" applyAlignment="1">
      <alignment horizontal="left" vertical="center" wrapText="1"/>
    </xf>
    <xf numFmtId="0" fontId="12" fillId="4" borderId="2" xfId="0" applyFont="1" applyFill="1" applyBorder="1" applyAlignment="1">
      <alignment horizontal="left"/>
    </xf>
    <xf numFmtId="0" fontId="0" fillId="4" borderId="2" xfId="0" applyFill="1" applyBorder="1" applyAlignment="1">
      <alignment horizontal="right" vertical="top"/>
    </xf>
    <xf numFmtId="0" fontId="0" fillId="4" borderId="2" xfId="0" applyFill="1" applyBorder="1" applyAlignment="1">
      <alignment horizontal="right"/>
    </xf>
    <xf numFmtId="0" fontId="0" fillId="4" borderId="2" xfId="0" applyFill="1" applyBorder="1" applyAlignment="1">
      <alignment horizontal="left" vertical="top" wrapText="1"/>
    </xf>
    <xf numFmtId="0" fontId="0" fillId="4" borderId="54" xfId="0" applyFill="1" applyBorder="1" applyAlignment="1">
      <alignment horizontal="center"/>
    </xf>
    <xf numFmtId="0" fontId="0" fillId="4" borderId="55" xfId="0" applyFill="1" applyBorder="1" applyAlignment="1">
      <alignment horizontal="center" vertical="top"/>
    </xf>
    <xf numFmtId="0" fontId="0" fillId="4" borderId="55" xfId="0" applyFill="1" applyBorder="1" applyAlignment="1">
      <alignment horizontal="left" vertical="top"/>
    </xf>
    <xf numFmtId="0" fontId="0" fillId="4" borderId="32" xfId="0" applyFill="1" applyBorder="1" applyAlignment="1">
      <alignment horizontal="right" vertical="top"/>
    </xf>
    <xf numFmtId="0" fontId="0" fillId="4" borderId="3" xfId="0" applyFill="1" applyBorder="1" applyAlignment="1">
      <alignment horizontal="right" vertical="top"/>
    </xf>
    <xf numFmtId="0" fontId="0" fillId="4" borderId="32" xfId="0" applyFill="1" applyBorder="1" applyAlignment="1">
      <alignment horizontal="right"/>
    </xf>
    <xf numFmtId="0" fontId="0" fillId="4" borderId="17" xfId="0" applyFill="1" applyBorder="1" applyAlignment="1">
      <alignment horizontal="right"/>
    </xf>
    <xf numFmtId="0" fontId="0" fillId="4" borderId="3" xfId="0" applyFill="1" applyBorder="1" applyAlignment="1">
      <alignment horizontal="right"/>
    </xf>
    <xf numFmtId="0" fontId="0" fillId="4" borderId="17" xfId="0" applyFill="1" applyBorder="1" applyAlignment="1">
      <alignment horizontal="right" vertical="top"/>
    </xf>
    <xf numFmtId="0" fontId="12" fillId="4" borderId="32" xfId="0" applyFont="1" applyFill="1" applyBorder="1" applyAlignment="1">
      <alignment horizontal="left"/>
    </xf>
    <xf numFmtId="0" fontId="12" fillId="4" borderId="17" xfId="0" applyFont="1" applyFill="1" applyBorder="1" applyAlignment="1">
      <alignment horizontal="left"/>
    </xf>
    <xf numFmtId="0" fontId="12" fillId="4" borderId="3" xfId="0" applyFont="1" applyFill="1" applyBorder="1" applyAlignment="1">
      <alignment horizontal="left"/>
    </xf>
    <xf numFmtId="0" fontId="0" fillId="4" borderId="0" xfId="0" applyFill="1" applyAlignment="1">
      <alignment horizontal="left" vertical="top"/>
    </xf>
    <xf numFmtId="0" fontId="24" fillId="4" borderId="32" xfId="0" applyFont="1" applyFill="1" applyBorder="1" applyAlignment="1">
      <alignment horizontal="right"/>
    </xf>
    <xf numFmtId="0" fontId="24" fillId="4" borderId="17" xfId="0" applyFont="1" applyFill="1" applyBorder="1" applyAlignment="1">
      <alignment horizontal="right"/>
    </xf>
    <xf numFmtId="0" fontId="24" fillId="4" borderId="3" xfId="0" applyFont="1" applyFill="1" applyBorder="1" applyAlignment="1">
      <alignment horizontal="right"/>
    </xf>
    <xf numFmtId="0" fontId="22" fillId="19" borderId="41" xfId="0" applyFont="1" applyFill="1" applyBorder="1" applyAlignment="1">
      <alignment horizontal="center" vertical="center" wrapText="1"/>
    </xf>
    <xf numFmtId="0" fontId="22" fillId="19" borderId="21" xfId="0" applyFont="1" applyFill="1" applyBorder="1" applyAlignment="1">
      <alignment horizontal="center" vertical="center" wrapText="1"/>
    </xf>
    <xf numFmtId="0" fontId="22" fillId="19" borderId="30" xfId="0" applyFont="1" applyFill="1" applyBorder="1" applyAlignment="1">
      <alignment horizontal="center" vertical="center" wrapText="1"/>
    </xf>
    <xf numFmtId="0" fontId="11" fillId="19" borderId="46" xfId="0" applyFont="1" applyFill="1" applyBorder="1" applyAlignment="1">
      <alignment horizontal="center" vertical="center" wrapText="1"/>
    </xf>
    <xf numFmtId="0" fontId="11" fillId="19" borderId="47" xfId="0" applyFont="1" applyFill="1" applyBorder="1" applyAlignment="1">
      <alignment horizontal="center" vertical="center" wrapText="1"/>
    </xf>
    <xf numFmtId="0" fontId="11" fillId="19" borderId="48"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48" xfId="0" applyFont="1" applyFill="1" applyBorder="1" applyAlignment="1">
      <alignment horizontal="center" vertical="center" wrapText="1"/>
    </xf>
    <xf numFmtId="0" fontId="0" fillId="4" borderId="62" xfId="0" applyFill="1" applyBorder="1"/>
    <xf numFmtId="0" fontId="0" fillId="4" borderId="55" xfId="0" applyFill="1" applyBorder="1"/>
    <xf numFmtId="0" fontId="0" fillId="4" borderId="64" xfId="0" applyFill="1" applyBorder="1"/>
    <xf numFmtId="0" fontId="0" fillId="4" borderId="0" xfId="0" applyFill="1" applyBorder="1" applyAlignment="1">
      <alignment horizontal="left" vertical="center"/>
    </xf>
    <xf numFmtId="0" fontId="0" fillId="4" borderId="65" xfId="0" applyFill="1" applyBorder="1"/>
    <xf numFmtId="0" fontId="0" fillId="4" borderId="57" xfId="0" applyFill="1" applyBorder="1"/>
    <xf numFmtId="0" fontId="0" fillId="4" borderId="56" xfId="0" applyFill="1" applyBorder="1"/>
    <xf numFmtId="0" fontId="0" fillId="4" borderId="72" xfId="0" applyFill="1" applyBorder="1"/>
    <xf numFmtId="0" fontId="0" fillId="4" borderId="73" xfId="0" applyFill="1" applyBorder="1"/>
    <xf numFmtId="0" fontId="0" fillId="4" borderId="37" xfId="0" applyFill="1" applyBorder="1"/>
    <xf numFmtId="0" fontId="0" fillId="0" borderId="63" xfId="0" applyBorder="1"/>
    <xf numFmtId="0" fontId="0" fillId="4" borderId="54" xfId="0" applyFill="1" applyBorder="1" applyAlignment="1">
      <alignment horizontal="left" vertical="center"/>
    </xf>
    <xf numFmtId="0" fontId="0" fillId="5" borderId="0" xfId="0" applyFill="1" applyBorder="1" applyAlignment="1">
      <alignment horizontal="center" vertical="center"/>
    </xf>
    <xf numFmtId="0" fontId="0" fillId="5" borderId="35" xfId="0" applyFill="1" applyBorder="1" applyAlignment="1">
      <alignment horizontal="center" vertical="center"/>
    </xf>
    <xf numFmtId="0" fontId="0" fillId="0" borderId="0" xfId="0" applyFont="1"/>
  </cellXfs>
  <cellStyles count="2">
    <cellStyle name="Hyperlink" xfId="1" builtinId="8"/>
    <cellStyle name="Normal" xfId="0" builtinId="0"/>
  </cellStyles>
  <dxfs count="109">
    <dxf>
      <font>
        <color rgb="FFC00000"/>
      </font>
      <fill>
        <patternFill>
          <bgColor theme="5" tint="0.79998168889431442"/>
        </patternFill>
      </fill>
    </dxf>
    <dxf>
      <fill>
        <patternFill>
          <bgColor rgb="FFFF0000"/>
        </patternFill>
      </fill>
    </dxf>
    <dxf>
      <font>
        <color rgb="FFC00000"/>
      </font>
      <fill>
        <patternFill>
          <bgColor theme="5" tint="0.79998168889431442"/>
        </patternFill>
      </fill>
    </dxf>
    <dxf>
      <fill>
        <patternFill>
          <bgColor theme="0"/>
        </patternFill>
      </fill>
    </dxf>
    <dxf>
      <fill>
        <patternFill>
          <bgColor theme="0"/>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tint="-0.34998626667073579"/>
      </font>
      <fill>
        <patternFill>
          <bgColor theme="0" tint="-0.34998626667073579"/>
        </patternFill>
      </fill>
    </dxf>
    <dxf>
      <font>
        <color rgb="FFC00000"/>
      </font>
      <fill>
        <patternFill>
          <bgColor theme="5" tint="0.79998168889431442"/>
        </patternFill>
      </fill>
    </dxf>
    <dxf>
      <fill>
        <patternFill>
          <bgColor rgb="FFFF0000"/>
        </patternFill>
      </fill>
    </dxf>
    <dxf>
      <fill>
        <patternFill>
          <bgColor rgb="FFFF0000"/>
        </patternFill>
      </fill>
    </dxf>
    <dxf>
      <fill>
        <patternFill>
          <bgColor rgb="FFFF0000"/>
        </patternFill>
      </fill>
    </dxf>
    <dxf>
      <font>
        <color rgb="FFC00000"/>
      </font>
      <fill>
        <patternFill>
          <bgColor theme="5" tint="0.79998168889431442"/>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34998626667073579"/>
      </font>
      <fill>
        <patternFill>
          <bgColor theme="0" tint="-0.34998626667073579"/>
        </patternFill>
      </fill>
    </dxf>
    <dxf>
      <fill>
        <patternFill>
          <bgColor rgb="FFFFC000"/>
        </patternFill>
      </fill>
    </dxf>
    <dxf>
      <font>
        <color rgb="FFC00000"/>
      </font>
      <fill>
        <patternFill>
          <bgColor theme="5" tint="0.79998168889431442"/>
        </patternFill>
      </fill>
    </dxf>
    <dxf>
      <fill>
        <patternFill>
          <bgColor rgb="FFFF0000"/>
        </patternFill>
      </fill>
    </dxf>
    <dxf>
      <font>
        <color rgb="FFC00000"/>
      </font>
      <fill>
        <patternFill>
          <bgColor theme="5" tint="0.79998168889431442"/>
        </patternFill>
      </fill>
    </dxf>
    <dxf>
      <fill>
        <patternFill>
          <bgColor theme="0"/>
        </patternFill>
      </fill>
    </dxf>
    <dxf>
      <fill>
        <patternFill>
          <bgColor theme="0"/>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tint="-0.34998626667073579"/>
      </font>
      <fill>
        <patternFill>
          <bgColor theme="0" tint="-0.34998626667073579"/>
        </patternFill>
      </fill>
    </dxf>
    <dxf>
      <font>
        <color rgb="FFC00000"/>
      </font>
      <fill>
        <patternFill>
          <bgColor theme="5" tint="0.79998168889431442"/>
        </patternFill>
      </fill>
    </dxf>
    <dxf>
      <fill>
        <patternFill>
          <bgColor rgb="FFFF0000"/>
        </patternFill>
      </fill>
    </dxf>
    <dxf>
      <fill>
        <patternFill>
          <bgColor rgb="FFFF0000"/>
        </patternFill>
      </fill>
    </dxf>
    <dxf>
      <fill>
        <patternFill>
          <bgColor rgb="FFFF0000"/>
        </patternFill>
      </fill>
    </dxf>
    <dxf>
      <font>
        <color rgb="FFC00000"/>
      </font>
      <fill>
        <patternFill>
          <bgColor theme="5" tint="0.79998168889431442"/>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34998626667073579"/>
      </font>
      <fill>
        <patternFill>
          <bgColor theme="0" tint="-0.34998626667073579"/>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ont>
        <color theme="0" tint="-0.14996795556505021"/>
      </font>
      <fill>
        <patternFill>
          <bgColor theme="0" tint="-0.14996795556505021"/>
        </patternFill>
      </fill>
    </dxf>
    <dxf>
      <font>
        <color theme="0" tint="-0.24994659260841701"/>
      </font>
    </dxf>
    <dxf>
      <fill>
        <patternFill>
          <bgColor rgb="FFFF0000"/>
        </patternFill>
      </fill>
    </dxf>
    <dxf>
      <fill>
        <patternFill>
          <bgColor theme="9" tint="0.79998168889431442"/>
        </patternFill>
      </fill>
    </dxf>
    <dxf>
      <fill>
        <patternFill>
          <bgColor theme="9" tint="0.79998168889431442"/>
        </patternFill>
      </fill>
    </dxf>
    <dxf>
      <fill>
        <patternFill>
          <bgColor rgb="FFFF7C8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C000"/>
        </patternFill>
      </fill>
    </dxf>
    <dxf>
      <fill>
        <patternFill>
          <bgColor rgb="FFFFC000"/>
        </patternFill>
      </fill>
    </dxf>
    <dxf>
      <font>
        <color theme="0" tint="-0.14996795556505021"/>
      </font>
      <fill>
        <patternFill>
          <bgColor theme="0" tint="-0.14996795556505021"/>
        </patternFill>
      </fill>
    </dxf>
    <dxf>
      <font>
        <color theme="0"/>
      </font>
      <fill>
        <patternFill>
          <bgColor theme="0"/>
        </patternFill>
      </fill>
    </dxf>
    <dxf>
      <font>
        <color auto="1"/>
      </font>
      <fill>
        <patternFill>
          <bgColor rgb="FF92D050"/>
        </patternFill>
      </fill>
    </dxf>
    <dxf>
      <font>
        <color rgb="FFFFFF0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0000"/>
        </patternFill>
      </fill>
    </dxf>
    <dxf>
      <font>
        <color theme="0" tint="-0.34998626667073579"/>
      </font>
      <fill>
        <patternFill>
          <fgColor theme="0" tint="-0.34998626667073579"/>
          <bgColor theme="0" tint="-0.34998626667073579"/>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bgColor rgb="FFFF0000"/>
        </patternFill>
      </fill>
    </dxf>
    <dxf>
      <font>
        <color rgb="FFC00000"/>
      </font>
      <fill>
        <patternFill>
          <bgColor theme="5" tint="0.79998168889431442"/>
        </patternFill>
      </fill>
    </dxf>
    <dxf>
      <fill>
        <patternFill>
          <bgColor rgb="FFFF0000"/>
        </patternFill>
      </fill>
    </dxf>
    <dxf>
      <font>
        <color rgb="FFC00000"/>
      </font>
      <fill>
        <patternFill>
          <bgColor theme="5" tint="0.79998168889431442"/>
        </patternFill>
      </fill>
    </dxf>
    <dxf>
      <fill>
        <patternFill>
          <bgColor theme="0"/>
        </patternFill>
      </fill>
    </dxf>
    <dxf>
      <fill>
        <patternFill>
          <bgColor theme="0"/>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tint="-0.34998626667073579"/>
      </font>
      <fill>
        <patternFill>
          <bgColor theme="0" tint="-0.34998626667073579"/>
        </patternFill>
      </fill>
    </dxf>
    <dxf>
      <font>
        <color rgb="FFC00000"/>
      </font>
      <fill>
        <patternFill>
          <bgColor theme="5" tint="0.79998168889431442"/>
        </patternFill>
      </fill>
    </dxf>
    <dxf>
      <fill>
        <patternFill>
          <bgColor rgb="FFFF0000"/>
        </patternFill>
      </fill>
    </dxf>
    <dxf>
      <fill>
        <patternFill>
          <bgColor rgb="FFFF0000"/>
        </patternFill>
      </fill>
    </dxf>
    <dxf>
      <fill>
        <patternFill>
          <bgColor rgb="FFFF0000"/>
        </patternFill>
      </fill>
    </dxf>
    <dxf>
      <font>
        <color rgb="FFC00000"/>
      </font>
      <fill>
        <patternFill>
          <bgColor theme="5" tint="0.79998168889431442"/>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34998626667073579"/>
      </font>
      <fill>
        <patternFill>
          <bgColor theme="0" tint="-0.34998626667073579"/>
        </patternFill>
      </fill>
    </dxf>
    <dxf>
      <fill>
        <patternFill>
          <bgColor rgb="FFFFC000"/>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s>
  <tableStyles count="0" defaultTableStyle="TableStyleMedium2" defaultPivotStyle="PivotStyleLight16"/>
  <colors>
    <mruColors>
      <color rgb="FFFF7C80"/>
      <color rgb="FFFF7979"/>
      <color rgb="FFFD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360252</xdr:colOff>
      <xdr:row>0</xdr:row>
      <xdr:rowOff>0</xdr:rowOff>
    </xdr:from>
    <xdr:to>
      <xdr:col>15</xdr:col>
      <xdr:colOff>0</xdr:colOff>
      <xdr:row>5</xdr:row>
      <xdr:rowOff>142875</xdr:rowOff>
    </xdr:to>
    <xdr:pic>
      <xdr:nvPicPr>
        <xdr:cNvPr id="8" name="Picture 7">
          <a:extLst>
            <a:ext uri="{FF2B5EF4-FFF2-40B4-BE49-F238E27FC236}">
              <a16:creationId xmlns:a16="http://schemas.microsoft.com/office/drawing/2014/main" id="{5099E2F9-5D2C-4D34-B2CF-BA04D3C7EC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47752" y="0"/>
          <a:ext cx="1163748" cy="10596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360252</xdr:colOff>
      <xdr:row>0</xdr:row>
      <xdr:rowOff>0</xdr:rowOff>
    </xdr:from>
    <xdr:to>
      <xdr:col>15</xdr:col>
      <xdr:colOff>0</xdr:colOff>
      <xdr:row>5</xdr:row>
      <xdr:rowOff>142875</xdr:rowOff>
    </xdr:to>
    <xdr:pic>
      <xdr:nvPicPr>
        <xdr:cNvPr id="8" name="Picture 7">
          <a:extLst>
            <a:ext uri="{FF2B5EF4-FFF2-40B4-BE49-F238E27FC236}">
              <a16:creationId xmlns:a16="http://schemas.microsoft.com/office/drawing/2014/main" id="{DEEF4F2F-F3DB-4AFB-89A7-A4410B4576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47752" y="0"/>
          <a:ext cx="1163748" cy="10596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360252</xdr:colOff>
      <xdr:row>0</xdr:row>
      <xdr:rowOff>0</xdr:rowOff>
    </xdr:from>
    <xdr:to>
      <xdr:col>15</xdr:col>
      <xdr:colOff>0</xdr:colOff>
      <xdr:row>5</xdr:row>
      <xdr:rowOff>142875</xdr:rowOff>
    </xdr:to>
    <xdr:pic>
      <xdr:nvPicPr>
        <xdr:cNvPr id="7" name="Picture 6">
          <a:extLst>
            <a:ext uri="{FF2B5EF4-FFF2-40B4-BE49-F238E27FC236}">
              <a16:creationId xmlns:a16="http://schemas.microsoft.com/office/drawing/2014/main" id="{FB33DF43-DC86-4FF4-970F-E56CCCDE01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47752" y="0"/>
          <a:ext cx="1163748" cy="105965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FED1F-07E3-48AB-8A43-11CBD37EA45A}">
  <sheetPr>
    <tabColor rgb="FF00B050"/>
  </sheetPr>
  <dimension ref="B2:C5"/>
  <sheetViews>
    <sheetView workbookViewId="0">
      <selection activeCell="B5" sqref="B5"/>
    </sheetView>
  </sheetViews>
  <sheetFormatPr defaultRowHeight="15" x14ac:dyDescent="0.25"/>
  <cols>
    <col min="2" max="2" width="10.140625" bestFit="1" customWidth="1"/>
  </cols>
  <sheetData>
    <row r="2" spans="2:3" x14ac:dyDescent="0.25">
      <c r="B2" s="175" t="s">
        <v>973</v>
      </c>
      <c r="C2" s="175" t="s">
        <v>974</v>
      </c>
    </row>
    <row r="3" spans="2:3" x14ac:dyDescent="0.25">
      <c r="B3" t="s">
        <v>1082</v>
      </c>
      <c r="C3" s="502" t="s">
        <v>1081</v>
      </c>
    </row>
    <row r="4" spans="2:3" x14ac:dyDescent="0.25">
      <c r="B4" t="s">
        <v>975</v>
      </c>
      <c r="C4" t="s">
        <v>1083</v>
      </c>
    </row>
    <row r="5" spans="2:3" x14ac:dyDescent="0.25">
      <c r="B5" t="s">
        <v>1084</v>
      </c>
      <c r="C5" t="s">
        <v>1085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O56"/>
  <sheetViews>
    <sheetView showZeros="0" tabSelected="1" workbookViewId="0"/>
  </sheetViews>
  <sheetFormatPr defaultColWidth="0" defaultRowHeight="15" zeroHeight="1" x14ac:dyDescent="0.25"/>
  <cols>
    <col min="1" max="1" width="3.28515625" style="22" customWidth="1"/>
    <col min="2" max="2" width="16.28515625" style="6" customWidth="1"/>
    <col min="3" max="4" width="25.7109375" style="6" customWidth="1"/>
    <col min="5" max="5" width="21.140625" style="6" customWidth="1"/>
    <col min="6" max="6" width="11.5703125" style="6" customWidth="1"/>
    <col min="7" max="7" width="0.140625" style="6" customWidth="1"/>
    <col min="8" max="8" width="8.85546875" style="6" customWidth="1"/>
    <col min="9" max="9" width="12.28515625" style="6" customWidth="1"/>
    <col min="10" max="10" width="11.5703125" style="6" customWidth="1"/>
    <col min="11" max="13" width="11.5703125" style="6" hidden="1"/>
    <col min="14" max="14" width="16.42578125" style="6" hidden="1"/>
    <col min="15" max="16384" width="11.5703125" style="6" hidden="1"/>
  </cols>
  <sheetData>
    <row r="1" spans="1:15" ht="15.75" thickBot="1" x14ac:dyDescent="0.3">
      <c r="A1" s="6"/>
      <c r="F1" s="83"/>
      <c r="G1" s="84"/>
    </row>
    <row r="2" spans="1:15" ht="18.75" customHeight="1" thickBot="1" x14ac:dyDescent="0.3">
      <c r="A2" s="6"/>
      <c r="B2" s="242" t="s">
        <v>961</v>
      </c>
      <c r="C2" s="306" t="s">
        <v>962</v>
      </c>
      <c r="D2" s="307"/>
      <c r="E2" s="307"/>
      <c r="F2" s="307"/>
      <c r="G2" s="307"/>
      <c r="H2" s="307"/>
      <c r="I2" s="308"/>
    </row>
    <row r="3" spans="1:15" ht="18.75" customHeight="1" thickBot="1" x14ac:dyDescent="0.3">
      <c r="A3" s="6"/>
      <c r="B3" s="84"/>
      <c r="C3" s="112"/>
      <c r="F3" s="83"/>
      <c r="G3" s="84"/>
    </row>
    <row r="4" spans="1:15" s="237" customFormat="1" ht="22.5" customHeight="1" x14ac:dyDescent="0.25">
      <c r="B4" s="243" t="s">
        <v>528</v>
      </c>
      <c r="C4" s="244" t="s">
        <v>2</v>
      </c>
      <c r="D4" s="244" t="s">
        <v>0</v>
      </c>
      <c r="E4" s="244" t="s">
        <v>526</v>
      </c>
      <c r="F4" s="250" t="s">
        <v>521</v>
      </c>
      <c r="G4" s="313" t="s">
        <v>963</v>
      </c>
      <c r="H4" s="314"/>
      <c r="I4" s="278" t="s">
        <v>527</v>
      </c>
      <c r="K4" s="495" t="s">
        <v>1080</v>
      </c>
      <c r="M4" s="488" t="s">
        <v>1073</v>
      </c>
      <c r="N4" s="489"/>
      <c r="O4" s="498">
        <f ca="1">SUM(O5:O10)</f>
        <v>0</v>
      </c>
    </row>
    <row r="5" spans="1:15" s="237" customFormat="1" ht="22.5" customHeight="1" x14ac:dyDescent="0.25">
      <c r="B5" s="240" t="s">
        <v>838</v>
      </c>
      <c r="C5" s="245">
        <f ca="1">INDIRECT("'" &amp; $B5 &amp; "'!D4")</f>
        <v>0</v>
      </c>
      <c r="D5" s="32">
        <f ca="1">INDIRECT("'" &amp; $B5 &amp; "'!D3")</f>
        <v>0</v>
      </c>
      <c r="E5" s="32" t="str">
        <f ca="1">IF(INDIRECT("'" &amp; $B5 &amp; "'!D2")="Select Team","",INDIRECT("'" &amp; $B5 &amp; "'!D2"))</f>
        <v/>
      </c>
      <c r="F5" s="251" t="str">
        <f ca="1">RIGHT(INDIRECT("'" &amp; $B5 &amp; "'!F2"),1)</f>
        <v xml:space="preserve"> </v>
      </c>
      <c r="G5" s="245"/>
      <c r="H5" s="500">
        <f ca="1">INDIRECT("'" &amp; $B5 &amp; "'!D5")</f>
        <v>0</v>
      </c>
      <c r="I5" s="279">
        <f ca="1">INDIRECT("'" &amp; $B5 &amp; "'!E37")</f>
        <v>0</v>
      </c>
      <c r="K5" s="496" t="str">
        <f ca="1">IF(E5&lt;&gt;"",COUNTIF($E$5:$E$7,E5),"")</f>
        <v/>
      </c>
      <c r="M5" s="490" t="s">
        <v>1074</v>
      </c>
      <c r="N5" s="491" t="str">
        <f ca="1">INDIRECT("'"&amp;LEFT(M5,6)&amp;"'!C"&amp;RIGHT(M5,1)+23)</f>
        <v>Select Star Player</v>
      </c>
      <c r="O5" s="492" t="str">
        <f ca="1">IF(N5&lt;&gt;"Select Star Player",COUNTIF($N$5:$N$10,N5),"")</f>
        <v/>
      </c>
    </row>
    <row r="6" spans="1:15" s="237" customFormat="1" ht="22.5" customHeight="1" x14ac:dyDescent="0.25">
      <c r="B6" s="240" t="s">
        <v>958</v>
      </c>
      <c r="C6" s="32">
        <f ca="1">INDIRECT("'" &amp; $B6 &amp; "'!D4")</f>
        <v>0</v>
      </c>
      <c r="D6" s="32">
        <f t="shared" ref="D6:D7" ca="1" si="0">INDIRECT("'" &amp; $B6 &amp; "'!D3")</f>
        <v>0</v>
      </c>
      <c r="E6" s="32" t="str">
        <f t="shared" ref="E6:E7" ca="1" si="1">IF(INDIRECT("'" &amp; $B6 &amp; "'!D2")="Select Team","",INDIRECT("'" &amp; $B6 &amp; "'!D2"))</f>
        <v/>
      </c>
      <c r="F6" s="251" t="str">
        <f t="shared" ref="F6:F7" ca="1" si="2">RIGHT(INDIRECT("'" &amp; $B6 &amp; "'!F2"),1)</f>
        <v xml:space="preserve"> </v>
      </c>
      <c r="G6" s="245"/>
      <c r="H6" s="249">
        <f t="shared" ref="H6:H7" ca="1" si="3">INDIRECT("'" &amp; $B6 &amp; "'!D5")</f>
        <v>0</v>
      </c>
      <c r="I6" s="279">
        <f ca="1">INDIRECT("'" &amp; $B6 &amp; "'!E37")</f>
        <v>0</v>
      </c>
      <c r="K6" s="496" t="str">
        <f ca="1">IF(E6&lt;&gt;"",COUNTIF($E$5:$E$7,E6),"")</f>
        <v/>
      </c>
      <c r="M6" s="490" t="s">
        <v>1075</v>
      </c>
      <c r="N6" s="491" t="str">
        <f t="shared" ref="N6:N10" ca="1" si="4">INDIRECT("'"&amp;LEFT(M6,6)&amp;"'!C"&amp;RIGHT(M6,1)+23)</f>
        <v>Select Star Player</v>
      </c>
      <c r="O6" s="492" t="str">
        <f ca="1">IF(N6&lt;&gt;"Select Star Player",COUNTIF($N$5:$N$10,N6),"")</f>
        <v/>
      </c>
    </row>
    <row r="7" spans="1:15" s="237" customFormat="1" ht="22.5" customHeight="1" thickBot="1" x14ac:dyDescent="0.3">
      <c r="B7" s="241" t="s">
        <v>959</v>
      </c>
      <c r="C7" s="138">
        <f ca="1">INDIRECT("'" &amp; $B7 &amp; "'!D4")</f>
        <v>0</v>
      </c>
      <c r="D7" s="138">
        <f t="shared" ca="1" si="0"/>
        <v>0</v>
      </c>
      <c r="E7" s="138" t="str">
        <f t="shared" ca="1" si="1"/>
        <v/>
      </c>
      <c r="F7" s="252" t="str">
        <f t="shared" ca="1" si="2"/>
        <v xml:space="preserve"> </v>
      </c>
      <c r="G7" s="248"/>
      <c r="H7" s="501">
        <f t="shared" ca="1" si="3"/>
        <v>0</v>
      </c>
      <c r="I7" s="280">
        <f ca="1">INDIRECT("'" &amp; $B7 &amp; "'!E37")</f>
        <v>0</v>
      </c>
      <c r="K7" s="496" t="str">
        <f ca="1">IF(E7&lt;&gt;"",COUNTIF($E$5:$E$7,E7),"")</f>
        <v/>
      </c>
      <c r="M7" s="490" t="s">
        <v>1076</v>
      </c>
      <c r="N7" s="491" t="str">
        <f t="shared" ca="1" si="4"/>
        <v>Select Star Player</v>
      </c>
      <c r="O7" s="492" t="str">
        <f ca="1">IF(N7&lt;&gt;"Select Star Player",COUNTIF($N$5:$N$10,N7),"")</f>
        <v/>
      </c>
    </row>
    <row r="8" spans="1:15" x14ac:dyDescent="0.25">
      <c r="A8" s="6"/>
      <c r="B8" s="322" t="str">
        <f ca="1">IF(K8&gt;0,"Each race may be selected only once!","")</f>
        <v/>
      </c>
      <c r="C8" s="322"/>
      <c r="D8" s="322"/>
      <c r="E8" s="322"/>
      <c r="K8" s="497">
        <f ca="1">SUM(K5:K7)</f>
        <v>0</v>
      </c>
      <c r="M8" s="490" t="s">
        <v>1077</v>
      </c>
      <c r="N8" s="491" t="str">
        <f t="shared" ca="1" si="4"/>
        <v>Select Star Player</v>
      </c>
      <c r="O8" s="492" t="str">
        <f ca="1">IF(N8&lt;&gt;"Select Star Player",COUNTIF($N$5:$N$10,N8),"")</f>
        <v/>
      </c>
    </row>
    <row r="9" spans="1:15" x14ac:dyDescent="0.25">
      <c r="A9" s="6"/>
      <c r="B9" s="322" t="str">
        <f ca="1">IF(O4&gt;0,"A squad may hire each Star Player only once!","")</f>
        <v/>
      </c>
      <c r="C9" s="322"/>
      <c r="D9" s="322"/>
      <c r="E9" s="322"/>
      <c r="F9" s="88"/>
      <c r="G9" s="88"/>
      <c r="H9" s="85"/>
      <c r="K9"/>
      <c r="M9" s="490" t="s">
        <v>1078</v>
      </c>
      <c r="N9" s="491" t="str">
        <f t="shared" ca="1" si="4"/>
        <v>Select Star Player</v>
      </c>
      <c r="O9" s="492" t="str">
        <f ca="1">IF(N9&lt;&gt;"Select Star Player",COUNTIF($N$5:$N$10,N9),"")</f>
        <v/>
      </c>
    </row>
    <row r="10" spans="1:15" ht="72.75" customHeight="1" x14ac:dyDescent="0.25">
      <c r="A10" s="6"/>
      <c r="B10" s="312" t="s">
        <v>1072</v>
      </c>
      <c r="C10" s="312"/>
      <c r="D10" s="312"/>
      <c r="E10" s="312"/>
      <c r="F10" s="312"/>
      <c r="G10" s="312"/>
      <c r="H10" s="312"/>
      <c r="I10" s="312"/>
      <c r="M10" s="493" t="s">
        <v>1079</v>
      </c>
      <c r="N10" s="499" t="str">
        <f t="shared" ca="1" si="4"/>
        <v>Select Star Player</v>
      </c>
      <c r="O10" s="494" t="str">
        <f ca="1">IF(N10&lt;&gt;"Select Star Player",COUNTIF($N$5:$N$10,N10),"")</f>
        <v/>
      </c>
    </row>
    <row r="11" spans="1:15" ht="66" customHeight="1" x14ac:dyDescent="0.25">
      <c r="A11" s="6"/>
      <c r="B11" s="312" t="s">
        <v>960</v>
      </c>
      <c r="C11" s="312"/>
      <c r="D11" s="312"/>
      <c r="E11" s="312"/>
      <c r="F11" s="312"/>
      <c r="G11" s="312"/>
      <c r="H11" s="312"/>
      <c r="I11" s="312"/>
    </row>
    <row r="12" spans="1:15" x14ac:dyDescent="0.25">
      <c r="A12" s="6"/>
      <c r="B12" s="312" t="s">
        <v>972</v>
      </c>
      <c r="C12" s="312"/>
      <c r="D12" s="312"/>
      <c r="E12" s="312"/>
      <c r="F12" s="312"/>
      <c r="G12" s="312"/>
      <c r="H12" s="312"/>
      <c r="I12" s="312"/>
    </row>
    <row r="13" spans="1:15" x14ac:dyDescent="0.25">
      <c r="A13" s="6"/>
      <c r="B13" s="315" t="s">
        <v>971</v>
      </c>
      <c r="C13" s="315"/>
      <c r="D13" s="315"/>
      <c r="E13" s="315"/>
      <c r="F13" s="315"/>
      <c r="G13" s="315"/>
      <c r="H13" s="315"/>
      <c r="I13" s="315"/>
    </row>
    <row r="14" spans="1:15" x14ac:dyDescent="0.25">
      <c r="A14" s="6"/>
      <c r="B14" s="315" t="s">
        <v>954</v>
      </c>
      <c r="C14" s="315"/>
      <c r="D14" s="315"/>
      <c r="E14" s="315"/>
      <c r="F14" s="315"/>
      <c r="G14" s="315"/>
      <c r="H14" s="315"/>
      <c r="I14" s="315"/>
    </row>
    <row r="15" spans="1:15" x14ac:dyDescent="0.25">
      <c r="A15" s="6"/>
      <c r="B15" s="315" t="s">
        <v>953</v>
      </c>
      <c r="C15" s="315"/>
      <c r="D15" s="315"/>
      <c r="E15" s="315"/>
      <c r="F15" s="315"/>
      <c r="G15" s="315"/>
      <c r="H15" s="315"/>
      <c r="I15" s="315"/>
    </row>
    <row r="16" spans="1:15" x14ac:dyDescent="0.25">
      <c r="A16" s="86"/>
    </row>
    <row r="17" spans="1:12" x14ac:dyDescent="0.25">
      <c r="A17" s="86"/>
      <c r="D17" s="117"/>
      <c r="E17" s="117"/>
      <c r="F17" s="117"/>
      <c r="G17" s="117"/>
      <c r="H17" s="117"/>
    </row>
    <row r="18" spans="1:12" x14ac:dyDescent="0.25">
      <c r="A18" s="86"/>
      <c r="B18" s="117"/>
      <c r="C18" s="117"/>
      <c r="D18" s="117"/>
      <c r="E18" s="117"/>
      <c r="F18" s="117"/>
      <c r="G18" s="117"/>
      <c r="H18" s="117"/>
    </row>
    <row r="19" spans="1:12" x14ac:dyDescent="0.25">
      <c r="A19" s="86"/>
      <c r="B19" s="117"/>
      <c r="C19" s="117"/>
      <c r="D19" s="117"/>
      <c r="E19" s="117"/>
      <c r="F19" s="117"/>
      <c r="G19" s="117"/>
      <c r="H19" s="238"/>
      <c r="I19" s="287" t="s">
        <v>957</v>
      </c>
      <c r="J19" s="239">
        <v>44564</v>
      </c>
      <c r="K19" s="239"/>
      <c r="L19" s="239"/>
    </row>
    <row r="20" spans="1:12" hidden="1" x14ac:dyDescent="0.25">
      <c r="A20" s="86"/>
      <c r="B20" s="117"/>
      <c r="C20" s="117"/>
      <c r="D20" s="117"/>
      <c r="E20" s="117"/>
      <c r="F20" s="117"/>
      <c r="G20" s="117"/>
      <c r="H20" s="117"/>
    </row>
    <row r="21" spans="1:12" hidden="1" x14ac:dyDescent="0.25">
      <c r="A21" s="86"/>
      <c r="B21" s="117"/>
      <c r="C21" s="117"/>
      <c r="D21" s="117"/>
      <c r="E21" s="117"/>
      <c r="F21" s="117"/>
      <c r="G21" s="117"/>
      <c r="H21" s="117"/>
    </row>
    <row r="22" spans="1:12" hidden="1" x14ac:dyDescent="0.25">
      <c r="A22" s="86"/>
      <c r="B22" s="117"/>
      <c r="C22" s="117"/>
      <c r="D22" s="117"/>
      <c r="E22" s="117"/>
      <c r="F22" s="117"/>
      <c r="G22" s="117"/>
      <c r="H22" s="117"/>
    </row>
    <row r="23" spans="1:12" hidden="1" x14ac:dyDescent="0.25">
      <c r="A23" s="86"/>
      <c r="B23" s="117"/>
      <c r="C23" s="117"/>
      <c r="D23" s="117"/>
      <c r="E23" s="117"/>
      <c r="F23" s="117"/>
      <c r="G23" s="117"/>
      <c r="H23" s="117"/>
    </row>
    <row r="24" spans="1:12" hidden="1" x14ac:dyDescent="0.25">
      <c r="A24" s="86"/>
      <c r="B24" s="117"/>
      <c r="C24" s="117"/>
      <c r="D24" s="117"/>
      <c r="E24" s="117"/>
      <c r="F24" s="117"/>
      <c r="G24" s="117"/>
      <c r="H24" s="117"/>
    </row>
    <row r="25" spans="1:12" hidden="1" x14ac:dyDescent="0.25">
      <c r="A25" s="86"/>
      <c r="B25" s="117"/>
      <c r="C25" s="117"/>
      <c r="D25" s="117"/>
      <c r="E25" s="117"/>
      <c r="F25" s="117"/>
      <c r="G25" s="117"/>
      <c r="H25" s="117"/>
    </row>
    <row r="26" spans="1:12" hidden="1" x14ac:dyDescent="0.25">
      <c r="A26" s="86"/>
      <c r="B26" s="86"/>
      <c r="C26" s="86"/>
      <c r="D26" s="85"/>
      <c r="E26" s="85"/>
      <c r="F26" s="88"/>
      <c r="G26" s="88"/>
      <c r="H26" s="85"/>
    </row>
    <row r="27" spans="1:12" hidden="1" x14ac:dyDescent="0.25">
      <c r="A27" s="86"/>
      <c r="B27" s="86"/>
      <c r="C27" s="86"/>
      <c r="D27" s="85"/>
      <c r="E27" s="85"/>
      <c r="F27" s="88"/>
      <c r="G27" s="88"/>
      <c r="H27" s="85"/>
    </row>
    <row r="28" spans="1:12" hidden="1" x14ac:dyDescent="0.25">
      <c r="A28" s="86"/>
      <c r="B28" s="86"/>
      <c r="C28" s="86"/>
      <c r="D28" s="85"/>
      <c r="E28" s="85"/>
      <c r="F28" s="88"/>
      <c r="G28" s="88"/>
      <c r="H28" s="85"/>
    </row>
    <row r="29" spans="1:12" hidden="1" x14ac:dyDescent="0.25">
      <c r="A29" s="86"/>
      <c r="B29" s="86"/>
      <c r="C29" s="86"/>
      <c r="D29" s="85"/>
      <c r="E29" s="85"/>
      <c r="F29" s="88"/>
      <c r="G29" s="88"/>
      <c r="H29" s="85"/>
    </row>
    <row r="30" spans="1:12" hidden="1" x14ac:dyDescent="0.25">
      <c r="A30" s="86"/>
      <c r="B30" s="86"/>
      <c r="C30" s="86"/>
      <c r="D30" s="85"/>
      <c r="E30" s="85"/>
      <c r="F30" s="88"/>
      <c r="G30" s="88"/>
      <c r="H30" s="85"/>
    </row>
    <row r="31" spans="1:12" hidden="1" x14ac:dyDescent="0.25">
      <c r="A31" s="86"/>
      <c r="B31" s="86"/>
      <c r="C31" s="86"/>
      <c r="D31" s="85"/>
      <c r="E31" s="85"/>
      <c r="F31" s="88"/>
      <c r="G31" s="88"/>
      <c r="H31" s="85"/>
    </row>
    <row r="32" spans="1:12" hidden="1" x14ac:dyDescent="0.25">
      <c r="A32" s="86"/>
      <c r="B32" s="86"/>
      <c r="C32" s="86"/>
      <c r="D32" s="85"/>
      <c r="E32" s="85"/>
      <c r="F32" s="88"/>
      <c r="G32" s="88"/>
      <c r="H32" s="85"/>
    </row>
    <row r="33" spans="1:8" hidden="1" x14ac:dyDescent="0.25">
      <c r="A33" s="86"/>
      <c r="B33" s="86"/>
      <c r="C33" s="86"/>
      <c r="D33" s="85"/>
      <c r="E33" s="85"/>
      <c r="F33" s="88"/>
      <c r="G33" s="88"/>
      <c r="H33" s="85"/>
    </row>
    <row r="34" spans="1:8" hidden="1" x14ac:dyDescent="0.25">
      <c r="A34" s="86"/>
      <c r="B34" s="86"/>
      <c r="C34" s="86"/>
      <c r="D34" s="85"/>
      <c r="E34" s="85"/>
      <c r="F34" s="88"/>
      <c r="G34" s="88"/>
      <c r="H34" s="85"/>
    </row>
    <row r="35" spans="1:8" hidden="1" x14ac:dyDescent="0.25">
      <c r="A35" s="86"/>
      <c r="B35" s="86"/>
      <c r="C35" s="86"/>
      <c r="D35" s="85"/>
      <c r="E35" s="85"/>
      <c r="F35" s="88"/>
      <c r="G35" s="88"/>
      <c r="H35" s="85"/>
    </row>
    <row r="36" spans="1:8" hidden="1" x14ac:dyDescent="0.25">
      <c r="A36" s="86"/>
      <c r="B36" s="86"/>
      <c r="C36" s="86"/>
      <c r="D36" s="85"/>
      <c r="E36" s="85"/>
      <c r="F36" s="88"/>
      <c r="G36" s="88"/>
      <c r="H36" s="85"/>
    </row>
    <row r="37" spans="1:8" hidden="1" x14ac:dyDescent="0.25">
      <c r="A37" s="86"/>
      <c r="B37" s="86"/>
      <c r="C37" s="86"/>
      <c r="D37" s="85"/>
      <c r="E37" s="85"/>
      <c r="F37" s="88"/>
      <c r="G37" s="88"/>
      <c r="H37" s="85"/>
    </row>
    <row r="38" spans="1:8" hidden="1" x14ac:dyDescent="0.25">
      <c r="A38" s="86"/>
      <c r="B38" s="86"/>
      <c r="C38" s="86"/>
      <c r="D38" s="85"/>
      <c r="E38" s="85"/>
      <c r="F38" s="88"/>
      <c r="G38" s="88"/>
      <c r="H38" s="85"/>
    </row>
    <row r="39" spans="1:8" hidden="1" x14ac:dyDescent="0.25">
      <c r="A39" s="86"/>
      <c r="B39" s="86"/>
      <c r="C39" s="86"/>
      <c r="D39" s="85"/>
      <c r="E39" s="85"/>
      <c r="F39" s="88"/>
      <c r="G39" s="88"/>
      <c r="H39" s="85"/>
    </row>
    <row r="40" spans="1:8" hidden="1" x14ac:dyDescent="0.25">
      <c r="A40" s="86"/>
      <c r="B40" s="86"/>
      <c r="C40" s="86"/>
      <c r="D40" s="85"/>
      <c r="E40" s="85"/>
      <c r="F40" s="88"/>
      <c r="G40" s="88"/>
      <c r="H40" s="85"/>
    </row>
    <row r="41" spans="1:8" hidden="1" x14ac:dyDescent="0.25">
      <c r="A41" s="86"/>
      <c r="B41" s="86"/>
      <c r="C41" s="86"/>
      <c r="D41" s="309"/>
      <c r="E41" s="309"/>
      <c r="F41" s="310"/>
      <c r="G41" s="310"/>
      <c r="H41" s="85"/>
    </row>
    <row r="42" spans="1:8" hidden="1" x14ac:dyDescent="0.25">
      <c r="A42" s="86"/>
      <c r="B42" s="86"/>
      <c r="C42" s="86"/>
      <c r="D42" s="309"/>
      <c r="E42" s="309"/>
      <c r="F42" s="310"/>
      <c r="G42" s="310"/>
      <c r="H42" s="85"/>
    </row>
    <row r="43" spans="1:8" hidden="1" x14ac:dyDescent="0.25">
      <c r="A43" s="86"/>
      <c r="B43" s="86"/>
      <c r="C43" s="86"/>
      <c r="D43" s="309"/>
      <c r="E43" s="309"/>
      <c r="F43" s="310"/>
      <c r="G43" s="310"/>
      <c r="H43" s="85"/>
    </row>
    <row r="44" spans="1:8" hidden="1" x14ac:dyDescent="0.25">
      <c r="A44" s="86"/>
      <c r="B44" s="86"/>
      <c r="C44" s="86"/>
      <c r="D44" s="309"/>
      <c r="E44" s="309"/>
      <c r="F44" s="310"/>
      <c r="G44" s="310"/>
      <c r="H44" s="85"/>
    </row>
    <row r="45" spans="1:8" hidden="1" x14ac:dyDescent="0.25">
      <c r="A45" s="86"/>
      <c r="B45" s="86"/>
      <c r="C45" s="86"/>
      <c r="D45" s="309"/>
      <c r="E45" s="309"/>
      <c r="F45" s="310"/>
      <c r="G45" s="310"/>
      <c r="H45" s="85"/>
    </row>
    <row r="46" spans="1:8" hidden="1" x14ac:dyDescent="0.25">
      <c r="A46" s="86"/>
      <c r="B46" s="86"/>
      <c r="C46" s="86"/>
      <c r="D46" s="309"/>
      <c r="E46" s="309"/>
      <c r="F46" s="310"/>
      <c r="G46" s="310"/>
      <c r="H46" s="85"/>
    </row>
    <row r="47" spans="1:8" hidden="1" x14ac:dyDescent="0.25">
      <c r="A47" s="86"/>
      <c r="B47" s="86"/>
      <c r="C47" s="86"/>
      <c r="D47" s="309"/>
      <c r="E47" s="309"/>
      <c r="F47" s="310"/>
      <c r="G47" s="310"/>
      <c r="H47" s="85"/>
    </row>
    <row r="48" spans="1:8" hidden="1" x14ac:dyDescent="0.25">
      <c r="A48" s="86"/>
      <c r="B48" s="86"/>
      <c r="C48" s="86"/>
      <c r="D48" s="309"/>
      <c r="E48" s="309"/>
      <c r="F48" s="310"/>
      <c r="G48" s="310"/>
      <c r="H48" s="85"/>
    </row>
    <row r="49" spans="1:8" hidden="1" x14ac:dyDescent="0.25">
      <c r="A49" s="86"/>
      <c r="B49" s="86"/>
      <c r="C49" s="86"/>
      <c r="D49" s="309"/>
      <c r="E49" s="309"/>
      <c r="F49" s="310"/>
      <c r="G49" s="310"/>
      <c r="H49" s="85"/>
    </row>
    <row r="50" spans="1:8" hidden="1" x14ac:dyDescent="0.25">
      <c r="A50" s="86"/>
      <c r="B50" s="86"/>
      <c r="C50" s="86"/>
      <c r="D50" s="309"/>
      <c r="E50" s="309"/>
      <c r="F50" s="310"/>
      <c r="G50" s="310"/>
      <c r="H50" s="85"/>
    </row>
    <row r="51" spans="1:8" hidden="1" x14ac:dyDescent="0.25">
      <c r="A51" s="86"/>
      <c r="B51" s="86"/>
      <c r="C51" s="85"/>
      <c r="D51" s="309"/>
      <c r="E51" s="309"/>
      <c r="F51" s="311"/>
      <c r="G51" s="311"/>
      <c r="H51" s="85"/>
    </row>
    <row r="52" spans="1:8" hidden="1" x14ac:dyDescent="0.25">
      <c r="A52" s="86"/>
      <c r="B52" s="86"/>
      <c r="C52" s="85"/>
      <c r="D52" s="309"/>
      <c r="E52" s="309"/>
      <c r="F52" s="311"/>
      <c r="G52" s="311"/>
      <c r="H52" s="85"/>
    </row>
    <row r="53" spans="1:8" hidden="1" x14ac:dyDescent="0.25">
      <c r="A53" s="86"/>
      <c r="B53" s="86"/>
      <c r="C53" s="85"/>
      <c r="D53" s="309"/>
      <c r="E53" s="309"/>
      <c r="F53" s="311"/>
      <c r="G53" s="311"/>
      <c r="H53" s="85"/>
    </row>
    <row r="54" spans="1:8" hidden="1" x14ac:dyDescent="0.25">
      <c r="A54" s="86"/>
      <c r="B54" s="86"/>
      <c r="C54" s="85"/>
      <c r="D54" s="309"/>
      <c r="E54" s="309"/>
      <c r="F54" s="311"/>
      <c r="G54" s="311"/>
      <c r="H54" s="85"/>
    </row>
    <row r="55" spans="1:8" hidden="1" x14ac:dyDescent="0.25">
      <c r="A55" s="86"/>
      <c r="B55" s="85"/>
      <c r="C55" s="85"/>
      <c r="D55" s="85"/>
      <c r="E55" s="85"/>
      <c r="F55" s="85"/>
      <c r="G55" s="85"/>
      <c r="H55" s="85"/>
    </row>
    <row r="56" spans="1:8" hidden="1" x14ac:dyDescent="0.25">
      <c r="A56" s="86"/>
      <c r="B56" s="85"/>
      <c r="C56" s="85"/>
      <c r="D56" s="85"/>
      <c r="E56" s="85"/>
      <c r="F56" s="85"/>
      <c r="G56" s="85"/>
      <c r="H56" s="85"/>
    </row>
  </sheetData>
  <protectedRanges>
    <protectedRange sqref="C2:I2" name="Range1"/>
  </protectedRanges>
  <mergeCells count="29">
    <mergeCell ref="G4:H4"/>
    <mergeCell ref="B10:I10"/>
    <mergeCell ref="B12:I12"/>
    <mergeCell ref="F41:F45"/>
    <mergeCell ref="D41:E41"/>
    <mergeCell ref="D42:E42"/>
    <mergeCell ref="D43:E43"/>
    <mergeCell ref="D44:E44"/>
    <mergeCell ref="B14:I14"/>
    <mergeCell ref="B13:I13"/>
    <mergeCell ref="B15:I15"/>
    <mergeCell ref="B8:E8"/>
    <mergeCell ref="B9:E9"/>
    <mergeCell ref="C2:I2"/>
    <mergeCell ref="D53:E53"/>
    <mergeCell ref="D54:E54"/>
    <mergeCell ref="D50:E50"/>
    <mergeCell ref="F46:F50"/>
    <mergeCell ref="G46:G50"/>
    <mergeCell ref="F51:G54"/>
    <mergeCell ref="D46:E46"/>
    <mergeCell ref="D47:E47"/>
    <mergeCell ref="D48:E48"/>
    <mergeCell ref="D49:E49"/>
    <mergeCell ref="D51:E51"/>
    <mergeCell ref="D52:E52"/>
    <mergeCell ref="B11:I11"/>
    <mergeCell ref="G41:G45"/>
    <mergeCell ref="D45:E45"/>
  </mergeCells>
  <phoneticPr fontId="2" type="noConversion"/>
  <conditionalFormatting sqref="B8:E9">
    <cfRule type="notContainsBlanks" dxfId="106" priority="1">
      <formula>LEN(TRIM(B8))&gt;0</formula>
    </cfRule>
  </conditionalFormatting>
  <dataValidations count="1">
    <dataValidation type="custom" allowBlank="1" showInputMessage="1" showErrorMessage="1" errorTitle="Wrong entry" error="Please mark the cell with a &quot;X&quot; or &quot;x&quot; in order to print the Game Roster." sqref="A5:A7" xr:uid="{00000000-0002-0000-0000-000000000000}">
      <formula1>OR(A5="X",A5="x",A5="",A5=" ")</formula1>
    </dataValidation>
  </dataValidations>
  <hyperlinks>
    <hyperlink ref="B15:I15" location="'Available Skills'!A1" display="List of availabke skills." xr:uid="{00000000-0004-0000-0000-000000000000}"/>
    <hyperlink ref="B14:I14" location="'Available Rosters'!A1" display="List of available rosters, incl. Teams of Legend and NAF Recommended Teams" xr:uid="{00000000-0004-0000-0000-000001000000}"/>
    <hyperlink ref="B5" location="'Team 1'!A1" display="Team 1" xr:uid="{00000000-0004-0000-0000-000002000000}"/>
    <hyperlink ref="B13:I13" location="'Tourney Rules'!A1" display="Team building rules" xr:uid="{00000000-0004-0000-0000-000006000000}"/>
    <hyperlink ref="B6:B7" location="'Team 1'!A1" display="Team 1" xr:uid="{1167F0EA-5B30-4FA6-8E98-AEED62A55437}"/>
    <hyperlink ref="B6" location="'Team 2'!A1" display="Team 2" xr:uid="{44449DCF-6174-4F6D-9B85-750F72281846}"/>
    <hyperlink ref="B7" location="'Team 3'!A1" display="Team 3" xr:uid="{D56C7E8B-4237-4F8E-8C45-1A6F1CD32CE3}"/>
  </hyperlinks>
  <pageMargins left="0.7" right="0.7" top="0.78740157499999996" bottom="0.78740157499999996" header="0.3" footer="0.3"/>
  <pageSetup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3"/>
  <dimension ref="A1:C69"/>
  <sheetViews>
    <sheetView showRowColHeaders="0" zoomScaleNormal="100" workbookViewId="0"/>
  </sheetViews>
  <sheetFormatPr defaultColWidth="0" defaultRowHeight="15" zeroHeight="1" x14ac:dyDescent="0.25"/>
  <cols>
    <col min="1" max="1" width="5.5703125" style="6" customWidth="1"/>
    <col min="2" max="2" width="175.7109375" style="6" bestFit="1" customWidth="1"/>
    <col min="3" max="3" width="11.42578125" style="6" customWidth="1"/>
    <col min="4" max="16384" width="11.42578125" style="6" hidden="1"/>
  </cols>
  <sheetData>
    <row r="1" spans="2:2" ht="15.75" thickBot="1" x14ac:dyDescent="0.3"/>
    <row r="2" spans="2:2" x14ac:dyDescent="0.25">
      <c r="B2" s="159" t="s">
        <v>852</v>
      </c>
    </row>
    <row r="3" spans="2:2" ht="15.75" thickBot="1" x14ac:dyDescent="0.3">
      <c r="B3" s="160" t="s">
        <v>988</v>
      </c>
    </row>
    <row r="4" spans="2:2" ht="15.75" thickBot="1" x14ac:dyDescent="0.3"/>
    <row r="5" spans="2:2" x14ac:dyDescent="0.25">
      <c r="B5" s="159" t="s">
        <v>842</v>
      </c>
    </row>
    <row r="6" spans="2:2" ht="30" x14ac:dyDescent="0.25">
      <c r="B6" s="291" t="s">
        <v>983</v>
      </c>
    </row>
    <row r="7" spans="2:2" x14ac:dyDescent="0.25">
      <c r="B7" s="292" t="s">
        <v>984</v>
      </c>
    </row>
    <row r="8" spans="2:2" x14ac:dyDescent="0.25">
      <c r="B8" s="291" t="s">
        <v>985</v>
      </c>
    </row>
    <row r="9" spans="2:2" x14ac:dyDescent="0.25">
      <c r="B9" s="292" t="s">
        <v>986</v>
      </c>
    </row>
    <row r="10" spans="2:2" x14ac:dyDescent="0.25">
      <c r="B10" s="291" t="s">
        <v>987</v>
      </c>
    </row>
    <row r="11" spans="2:2" x14ac:dyDescent="0.25">
      <c r="B11" s="161"/>
    </row>
    <row r="12" spans="2:2" x14ac:dyDescent="0.25">
      <c r="B12" s="161" t="s">
        <v>843</v>
      </c>
    </row>
    <row r="13" spans="2:2" x14ac:dyDescent="0.25">
      <c r="B13" s="161" t="s">
        <v>844</v>
      </c>
    </row>
    <row r="14" spans="2:2" x14ac:dyDescent="0.25">
      <c r="B14" s="161" t="s">
        <v>845</v>
      </c>
    </row>
    <row r="15" spans="2:2" x14ac:dyDescent="0.25">
      <c r="B15" s="161" t="s">
        <v>846</v>
      </c>
    </row>
    <row r="16" spans="2:2" x14ac:dyDescent="0.25">
      <c r="B16" s="161" t="s">
        <v>847</v>
      </c>
    </row>
    <row r="17" spans="2:2" x14ac:dyDescent="0.25">
      <c r="B17" s="161" t="s">
        <v>848</v>
      </c>
    </row>
    <row r="18" spans="2:2" x14ac:dyDescent="0.25">
      <c r="B18" s="161" t="s">
        <v>849</v>
      </c>
    </row>
    <row r="19" spans="2:2" x14ac:dyDescent="0.25">
      <c r="B19" s="161" t="s">
        <v>977</v>
      </c>
    </row>
    <row r="20" spans="2:2" x14ac:dyDescent="0.25">
      <c r="B20" s="161" t="s">
        <v>850</v>
      </c>
    </row>
    <row r="21" spans="2:2" x14ac:dyDescent="0.25">
      <c r="B21" s="162"/>
    </row>
    <row r="22" spans="2:2" x14ac:dyDescent="0.25">
      <c r="B22" s="161" t="s">
        <v>993</v>
      </c>
    </row>
    <row r="23" spans="2:2" s="16" customFormat="1" ht="30" x14ac:dyDescent="0.25">
      <c r="B23" s="291" t="s">
        <v>976</v>
      </c>
    </row>
    <row r="24" spans="2:2" ht="15" customHeight="1" x14ac:dyDescent="0.25">
      <c r="B24" s="161" t="s">
        <v>851</v>
      </c>
    </row>
    <row r="25" spans="2:2" ht="15.75" thickBot="1" x14ac:dyDescent="0.3">
      <c r="B25" s="160" t="s">
        <v>982</v>
      </c>
    </row>
    <row r="26" spans="2:2" ht="15.75" thickBot="1" x14ac:dyDescent="0.3"/>
    <row r="27" spans="2:2" x14ac:dyDescent="0.25">
      <c r="B27" s="159" t="s">
        <v>878</v>
      </c>
    </row>
    <row r="28" spans="2:2" x14ac:dyDescent="0.25">
      <c r="B28" s="164" t="s">
        <v>857</v>
      </c>
    </row>
    <row r="29" spans="2:2" x14ac:dyDescent="0.25">
      <c r="B29" s="161" t="s">
        <v>978</v>
      </c>
    </row>
    <row r="30" spans="2:2" x14ac:dyDescent="0.25">
      <c r="B30" s="161" t="s">
        <v>858</v>
      </c>
    </row>
    <row r="31" spans="2:2" x14ac:dyDescent="0.25">
      <c r="B31" s="161" t="s">
        <v>859</v>
      </c>
    </row>
    <row r="32" spans="2:2" x14ac:dyDescent="0.25">
      <c r="B32" s="161" t="s">
        <v>860</v>
      </c>
    </row>
    <row r="33" spans="2:2" x14ac:dyDescent="0.25">
      <c r="B33" s="162"/>
    </row>
    <row r="34" spans="2:2" x14ac:dyDescent="0.25">
      <c r="B34" s="164" t="s">
        <v>861</v>
      </c>
    </row>
    <row r="35" spans="2:2" x14ac:dyDescent="0.25">
      <c r="B35" s="161" t="s">
        <v>979</v>
      </c>
    </row>
    <row r="36" spans="2:2" x14ac:dyDescent="0.25">
      <c r="B36" s="161" t="s">
        <v>862</v>
      </c>
    </row>
    <row r="37" spans="2:2" x14ac:dyDescent="0.25">
      <c r="B37" s="161" t="s">
        <v>863</v>
      </c>
    </row>
    <row r="38" spans="2:2" x14ac:dyDescent="0.25">
      <c r="B38" s="161" t="s">
        <v>864</v>
      </c>
    </row>
    <row r="39" spans="2:2" x14ac:dyDescent="0.25">
      <c r="B39" s="162"/>
    </row>
    <row r="40" spans="2:2" x14ac:dyDescent="0.25">
      <c r="B40" s="164" t="s">
        <v>865</v>
      </c>
    </row>
    <row r="41" spans="2:2" x14ac:dyDescent="0.25">
      <c r="B41" s="161" t="s">
        <v>980</v>
      </c>
    </row>
    <row r="42" spans="2:2" x14ac:dyDescent="0.25">
      <c r="B42" s="161" t="s">
        <v>866</v>
      </c>
    </row>
    <row r="43" spans="2:2" x14ac:dyDescent="0.25">
      <c r="B43" s="161" t="s">
        <v>867</v>
      </c>
    </row>
    <row r="44" spans="2:2" x14ac:dyDescent="0.25">
      <c r="B44" s="161" t="s">
        <v>868</v>
      </c>
    </row>
    <row r="45" spans="2:2" x14ac:dyDescent="0.25">
      <c r="B45" s="162"/>
    </row>
    <row r="46" spans="2:2" x14ac:dyDescent="0.25">
      <c r="B46" s="164" t="s">
        <v>869</v>
      </c>
    </row>
    <row r="47" spans="2:2" x14ac:dyDescent="0.25">
      <c r="B47" s="161" t="s">
        <v>981</v>
      </c>
    </row>
    <row r="48" spans="2:2" x14ac:dyDescent="0.25">
      <c r="B48" s="161" t="s">
        <v>870</v>
      </c>
    </row>
    <row r="49" spans="2:2" x14ac:dyDescent="0.25">
      <c r="B49" s="161" t="s">
        <v>871</v>
      </c>
    </row>
    <row r="50" spans="2:2" x14ac:dyDescent="0.25">
      <c r="B50" s="161" t="s">
        <v>872</v>
      </c>
    </row>
    <row r="51" spans="2:2" x14ac:dyDescent="0.25">
      <c r="B51" s="162"/>
    </row>
    <row r="52" spans="2:2" x14ac:dyDescent="0.25">
      <c r="B52" s="164" t="s">
        <v>874</v>
      </c>
    </row>
    <row r="53" spans="2:2" x14ac:dyDescent="0.25">
      <c r="B53" s="161" t="s">
        <v>875</v>
      </c>
    </row>
    <row r="54" spans="2:2" x14ac:dyDescent="0.25">
      <c r="B54" s="161" t="s">
        <v>876</v>
      </c>
    </row>
    <row r="55" spans="2:2" x14ac:dyDescent="0.25">
      <c r="B55" s="161" t="s">
        <v>877</v>
      </c>
    </row>
    <row r="56" spans="2:2" x14ac:dyDescent="0.25">
      <c r="B56" s="161" t="s">
        <v>872</v>
      </c>
    </row>
    <row r="57" spans="2:2" ht="15.75" thickBot="1" x14ac:dyDescent="0.3">
      <c r="B57" s="160" t="s">
        <v>873</v>
      </c>
    </row>
    <row r="58" spans="2:2" ht="15.75" thickBot="1" x14ac:dyDescent="0.3"/>
    <row r="59" spans="2:2" x14ac:dyDescent="0.25">
      <c r="B59" s="159" t="s">
        <v>853</v>
      </c>
    </row>
    <row r="60" spans="2:2" x14ac:dyDescent="0.25">
      <c r="B60" s="161" t="s">
        <v>989</v>
      </c>
    </row>
    <row r="61" spans="2:2" x14ac:dyDescent="0.25">
      <c r="B61" s="161" t="s">
        <v>856</v>
      </c>
    </row>
    <row r="62" spans="2:2" x14ac:dyDescent="0.25">
      <c r="B62" s="161" t="s">
        <v>990</v>
      </c>
    </row>
    <row r="63" spans="2:2" x14ac:dyDescent="0.25">
      <c r="B63" s="164"/>
    </row>
    <row r="64" spans="2:2" x14ac:dyDescent="0.25">
      <c r="B64" s="161" t="s">
        <v>991</v>
      </c>
    </row>
    <row r="65" spans="2:2" x14ac:dyDescent="0.25">
      <c r="B65" s="161" t="s">
        <v>854</v>
      </c>
    </row>
    <row r="66" spans="2:2" x14ac:dyDescent="0.25">
      <c r="B66" s="161" t="s">
        <v>992</v>
      </c>
    </row>
    <row r="67" spans="2:2" x14ac:dyDescent="0.25">
      <c r="B67" s="161" t="s">
        <v>994</v>
      </c>
    </row>
    <row r="68" spans="2:2" x14ac:dyDescent="0.25">
      <c r="B68" s="161" t="s">
        <v>855</v>
      </c>
    </row>
    <row r="69" spans="2:2" ht="15.75" thickBot="1" x14ac:dyDescent="0.3">
      <c r="B69" s="163" t="s">
        <v>970</v>
      </c>
    </row>
  </sheetData>
  <pageMargins left="0.7" right="0.7" top="0.78740157499999996" bottom="0.78740157499999996"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21"/>
  <dimension ref="A1:S168"/>
  <sheetViews>
    <sheetView topLeftCell="A53" workbookViewId="0">
      <selection activeCell="A52" sqref="A52"/>
    </sheetView>
  </sheetViews>
  <sheetFormatPr defaultColWidth="11.42578125" defaultRowHeight="15" x14ac:dyDescent="0.25"/>
  <cols>
    <col min="1" max="1" width="25.85546875" bestFit="1" customWidth="1"/>
    <col min="2" max="2" width="15.42578125" customWidth="1"/>
    <col min="6" max="6" width="13" customWidth="1"/>
    <col min="8" max="8" width="52" customWidth="1"/>
  </cols>
  <sheetData>
    <row r="1" spans="1:19" s="175" customFormat="1" x14ac:dyDescent="0.25">
      <c r="A1" s="175" t="s">
        <v>1044</v>
      </c>
      <c r="B1" s="175" t="s">
        <v>1055</v>
      </c>
      <c r="C1" s="175" t="s">
        <v>1045</v>
      </c>
      <c r="D1" s="175" t="s">
        <v>622</v>
      </c>
      <c r="E1" s="175" t="s">
        <v>173</v>
      </c>
      <c r="F1" s="175" t="s">
        <v>671</v>
      </c>
      <c r="G1" s="175" t="s">
        <v>620</v>
      </c>
      <c r="H1" s="175" t="s">
        <v>174</v>
      </c>
      <c r="I1" s="175" t="s">
        <v>185</v>
      </c>
      <c r="J1" s="175" t="s">
        <v>1029</v>
      </c>
      <c r="K1" s="175" t="s">
        <v>1030</v>
      </c>
      <c r="L1" s="175" t="s">
        <v>1043</v>
      </c>
      <c r="M1" s="175" t="s">
        <v>179</v>
      </c>
      <c r="N1" s="175" t="s">
        <v>1041</v>
      </c>
      <c r="O1" s="175" t="s">
        <v>619</v>
      </c>
      <c r="P1" s="175" t="s">
        <v>176</v>
      </c>
      <c r="Q1" s="175" t="s">
        <v>515</v>
      </c>
      <c r="R1" s="175" t="s">
        <v>180</v>
      </c>
      <c r="S1" s="175" t="s">
        <v>181</v>
      </c>
    </row>
    <row r="2" spans="1:19" x14ac:dyDescent="0.25">
      <c r="A2" t="s">
        <v>956</v>
      </c>
      <c r="B2" t="s">
        <v>956</v>
      </c>
      <c r="C2" t="s">
        <v>956</v>
      </c>
      <c r="D2" t="s">
        <v>956</v>
      </c>
      <c r="E2" t="s">
        <v>956</v>
      </c>
      <c r="F2" t="s">
        <v>956</v>
      </c>
      <c r="G2" t="s">
        <v>956</v>
      </c>
      <c r="H2" t="s">
        <v>956</v>
      </c>
      <c r="I2" t="s">
        <v>956</v>
      </c>
      <c r="J2" t="s">
        <v>956</v>
      </c>
      <c r="K2" t="s">
        <v>956</v>
      </c>
      <c r="L2" t="s">
        <v>956</v>
      </c>
      <c r="M2" t="s">
        <v>956</v>
      </c>
      <c r="N2" t="s">
        <v>956</v>
      </c>
      <c r="O2" t="s">
        <v>956</v>
      </c>
      <c r="P2" t="s">
        <v>956</v>
      </c>
      <c r="Q2" t="s">
        <v>956</v>
      </c>
      <c r="R2" t="s">
        <v>956</v>
      </c>
      <c r="S2" t="s">
        <v>956</v>
      </c>
    </row>
    <row r="3" spans="1:19" x14ac:dyDescent="0.25">
      <c r="A3" t="s">
        <v>703</v>
      </c>
      <c r="B3" t="s">
        <v>703</v>
      </c>
      <c r="C3" t="s">
        <v>703</v>
      </c>
      <c r="D3" t="s">
        <v>703</v>
      </c>
      <c r="E3" t="s">
        <v>703</v>
      </c>
      <c r="F3" t="s">
        <v>703</v>
      </c>
      <c r="G3" t="s">
        <v>703</v>
      </c>
      <c r="H3" t="s">
        <v>703</v>
      </c>
      <c r="I3" t="s">
        <v>703</v>
      </c>
      <c r="J3" t="s">
        <v>703</v>
      </c>
      <c r="K3" t="s">
        <v>703</v>
      </c>
      <c r="L3" t="s">
        <v>703</v>
      </c>
      <c r="M3" t="s">
        <v>703</v>
      </c>
      <c r="N3" t="s">
        <v>703</v>
      </c>
      <c r="O3" t="s">
        <v>703</v>
      </c>
      <c r="P3" t="s">
        <v>703</v>
      </c>
      <c r="Q3" t="s">
        <v>703</v>
      </c>
      <c r="R3" t="s">
        <v>703</v>
      </c>
      <c r="S3" t="s">
        <v>703</v>
      </c>
    </row>
    <row r="4" spans="1:19" x14ac:dyDescent="0.25">
      <c r="A4" t="s">
        <v>1012</v>
      </c>
      <c r="B4" t="s">
        <v>1012</v>
      </c>
      <c r="C4" t="s">
        <v>1012</v>
      </c>
      <c r="D4" t="s">
        <v>1012</v>
      </c>
      <c r="E4" t="s">
        <v>1012</v>
      </c>
      <c r="F4" t="s">
        <v>1012</v>
      </c>
      <c r="G4" t="s">
        <v>1015</v>
      </c>
      <c r="H4" t="s">
        <v>497</v>
      </c>
      <c r="I4" t="s">
        <v>498</v>
      </c>
      <c r="J4" t="s">
        <v>517</v>
      </c>
      <c r="K4" t="s">
        <v>498</v>
      </c>
      <c r="L4" t="s">
        <v>1015</v>
      </c>
      <c r="M4" t="s">
        <v>516</v>
      </c>
      <c r="N4" t="s">
        <v>1015</v>
      </c>
      <c r="O4" t="s">
        <v>1017</v>
      </c>
      <c r="P4" t="s">
        <v>1015</v>
      </c>
      <c r="Q4" t="s">
        <v>1015</v>
      </c>
      <c r="R4" t="s">
        <v>1017</v>
      </c>
      <c r="S4" t="s">
        <v>1012</v>
      </c>
    </row>
    <row r="5" spans="1:19" x14ac:dyDescent="0.25">
      <c r="A5" t="s">
        <v>1009</v>
      </c>
      <c r="B5" t="s">
        <v>1009</v>
      </c>
      <c r="C5" t="s">
        <v>1009</v>
      </c>
      <c r="D5" t="s">
        <v>1009</v>
      </c>
      <c r="E5" t="s">
        <v>1009</v>
      </c>
      <c r="F5" t="s">
        <v>1009</v>
      </c>
      <c r="G5" t="s">
        <v>1012</v>
      </c>
      <c r="H5" t="s">
        <v>516</v>
      </c>
      <c r="I5" t="s">
        <v>516</v>
      </c>
      <c r="J5" t="s">
        <v>516</v>
      </c>
      <c r="K5" t="s">
        <v>516</v>
      </c>
      <c r="L5" t="s">
        <v>496</v>
      </c>
      <c r="M5" t="s">
        <v>517</v>
      </c>
      <c r="N5" t="s">
        <v>496</v>
      </c>
      <c r="O5" t="s">
        <v>692</v>
      </c>
      <c r="P5" t="s">
        <v>496</v>
      </c>
      <c r="Q5" t="s">
        <v>496</v>
      </c>
      <c r="R5" t="s">
        <v>692</v>
      </c>
      <c r="S5" t="s">
        <v>1009</v>
      </c>
    </row>
    <row r="6" spans="1:19" x14ac:dyDescent="0.25">
      <c r="A6" t="s">
        <v>517</v>
      </c>
      <c r="B6" t="s">
        <v>517</v>
      </c>
      <c r="C6" t="s">
        <v>517</v>
      </c>
      <c r="D6" t="s">
        <v>517</v>
      </c>
      <c r="E6" t="s">
        <v>516</v>
      </c>
      <c r="F6" t="s">
        <v>517</v>
      </c>
      <c r="G6" t="s">
        <v>496</v>
      </c>
      <c r="H6" t="s">
        <v>517</v>
      </c>
      <c r="I6" t="s">
        <v>517</v>
      </c>
      <c r="J6" t="s">
        <v>498</v>
      </c>
      <c r="K6" t="s">
        <v>517</v>
      </c>
      <c r="L6" t="s">
        <v>692</v>
      </c>
      <c r="M6" t="s">
        <v>511</v>
      </c>
      <c r="N6" t="s">
        <v>692</v>
      </c>
      <c r="O6" t="s">
        <v>516</v>
      </c>
      <c r="P6" t="s">
        <v>692</v>
      </c>
      <c r="Q6" t="s">
        <v>692</v>
      </c>
      <c r="R6" t="s">
        <v>516</v>
      </c>
      <c r="S6" t="s">
        <v>498</v>
      </c>
    </row>
    <row r="7" spans="1:19" x14ac:dyDescent="0.25">
      <c r="A7" t="s">
        <v>516</v>
      </c>
      <c r="B7" t="s">
        <v>516</v>
      </c>
      <c r="C7" t="s">
        <v>516</v>
      </c>
      <c r="D7" t="s">
        <v>516</v>
      </c>
      <c r="E7" t="s">
        <v>517</v>
      </c>
      <c r="F7" t="s">
        <v>516</v>
      </c>
      <c r="G7" t="s">
        <v>692</v>
      </c>
      <c r="H7" t="s">
        <v>503</v>
      </c>
      <c r="I7" t="s">
        <v>1018</v>
      </c>
      <c r="J7" t="s">
        <v>1018</v>
      </c>
      <c r="K7" t="s">
        <v>1018</v>
      </c>
      <c r="L7" t="s">
        <v>517</v>
      </c>
      <c r="M7" t="s">
        <v>503</v>
      </c>
      <c r="N7" t="s">
        <v>517</v>
      </c>
      <c r="O7" t="s">
        <v>517</v>
      </c>
      <c r="P7" t="s">
        <v>516</v>
      </c>
      <c r="Q7" t="s">
        <v>517</v>
      </c>
      <c r="R7" t="s">
        <v>517</v>
      </c>
      <c r="S7" t="s">
        <v>516</v>
      </c>
    </row>
    <row r="8" spans="1:19" x14ac:dyDescent="0.25">
      <c r="A8" t="s">
        <v>503</v>
      </c>
      <c r="B8" t="s">
        <v>498</v>
      </c>
      <c r="C8" t="s">
        <v>498</v>
      </c>
      <c r="D8" t="s">
        <v>498</v>
      </c>
      <c r="E8" t="s">
        <v>503</v>
      </c>
      <c r="F8" t="s">
        <v>498</v>
      </c>
      <c r="G8" t="s">
        <v>1009</v>
      </c>
      <c r="H8" t="s">
        <v>506</v>
      </c>
      <c r="I8" t="s">
        <v>502</v>
      </c>
      <c r="J8" t="s">
        <v>502</v>
      </c>
      <c r="K8" t="s">
        <v>502</v>
      </c>
      <c r="L8" t="s">
        <v>516</v>
      </c>
      <c r="M8" t="s">
        <v>700</v>
      </c>
      <c r="N8" t="s">
        <v>516</v>
      </c>
      <c r="O8" t="s">
        <v>949</v>
      </c>
      <c r="P8" t="s">
        <v>517</v>
      </c>
      <c r="Q8" t="s">
        <v>516</v>
      </c>
      <c r="R8" t="s">
        <v>949</v>
      </c>
      <c r="S8" t="s">
        <v>517</v>
      </c>
    </row>
    <row r="9" spans="1:19" x14ac:dyDescent="0.25">
      <c r="A9" t="s">
        <v>506</v>
      </c>
      <c r="B9" t="s">
        <v>502</v>
      </c>
      <c r="C9" t="s">
        <v>502</v>
      </c>
      <c r="D9" t="s">
        <v>502</v>
      </c>
      <c r="E9" t="s">
        <v>506</v>
      </c>
      <c r="F9" t="s">
        <v>1018</v>
      </c>
      <c r="G9" t="s">
        <v>517</v>
      </c>
      <c r="H9" t="s">
        <v>507</v>
      </c>
      <c r="I9" t="s">
        <v>503</v>
      </c>
      <c r="J9" t="s">
        <v>503</v>
      </c>
      <c r="K9" t="s">
        <v>503</v>
      </c>
      <c r="L9" t="s">
        <v>500</v>
      </c>
      <c r="M9" t="s">
        <v>505</v>
      </c>
      <c r="N9" t="s">
        <v>500</v>
      </c>
      <c r="O9" t="s">
        <v>503</v>
      </c>
      <c r="P9" t="s">
        <v>500</v>
      </c>
      <c r="Q9" t="s">
        <v>500</v>
      </c>
      <c r="R9" t="s">
        <v>503</v>
      </c>
      <c r="S9" t="s">
        <v>502</v>
      </c>
    </row>
    <row r="10" spans="1:19" x14ac:dyDescent="0.25">
      <c r="A10" t="s">
        <v>495</v>
      </c>
      <c r="B10" t="s">
        <v>503</v>
      </c>
      <c r="C10" t="s">
        <v>503</v>
      </c>
      <c r="D10" t="s">
        <v>503</v>
      </c>
      <c r="E10" t="s">
        <v>495</v>
      </c>
      <c r="F10" t="s">
        <v>501</v>
      </c>
      <c r="G10" t="s">
        <v>516</v>
      </c>
      <c r="H10" t="s">
        <v>518</v>
      </c>
      <c r="I10" t="s">
        <v>942</v>
      </c>
      <c r="J10" t="s">
        <v>942</v>
      </c>
      <c r="K10" t="s">
        <v>942</v>
      </c>
      <c r="L10" t="s">
        <v>501</v>
      </c>
      <c r="M10" t="s">
        <v>506</v>
      </c>
      <c r="N10" t="s">
        <v>501</v>
      </c>
      <c r="O10" t="s">
        <v>509</v>
      </c>
      <c r="P10" t="s">
        <v>501</v>
      </c>
      <c r="Q10" t="s">
        <v>501</v>
      </c>
      <c r="R10" t="s">
        <v>509</v>
      </c>
      <c r="S10" t="s">
        <v>503</v>
      </c>
    </row>
    <row r="11" spans="1:19" x14ac:dyDescent="0.25">
      <c r="A11" t="s">
        <v>510</v>
      </c>
      <c r="B11" t="s">
        <v>942</v>
      </c>
      <c r="C11" t="s">
        <v>942</v>
      </c>
      <c r="D11" t="s">
        <v>942</v>
      </c>
      <c r="E11" t="s">
        <v>510</v>
      </c>
      <c r="F11" t="s">
        <v>511</v>
      </c>
      <c r="G11" t="s">
        <v>500</v>
      </c>
      <c r="H11" t="s">
        <v>519</v>
      </c>
      <c r="I11" t="s">
        <v>504</v>
      </c>
      <c r="J11" t="s">
        <v>504</v>
      </c>
      <c r="K11" t="s">
        <v>504</v>
      </c>
      <c r="L11" t="s">
        <v>511</v>
      </c>
      <c r="M11" t="s">
        <v>513</v>
      </c>
      <c r="N11" t="s">
        <v>511</v>
      </c>
      <c r="O11" t="s">
        <v>693</v>
      </c>
      <c r="P11" t="s">
        <v>511</v>
      </c>
      <c r="Q11" t="s">
        <v>511</v>
      </c>
      <c r="R11" t="s">
        <v>693</v>
      </c>
      <c r="S11" t="s">
        <v>942</v>
      </c>
    </row>
    <row r="12" spans="1:19" x14ac:dyDescent="0.25">
      <c r="B12" t="s">
        <v>506</v>
      </c>
      <c r="C12" t="s">
        <v>506</v>
      </c>
      <c r="D12" t="s">
        <v>506</v>
      </c>
      <c r="F12" t="s">
        <v>502</v>
      </c>
      <c r="G12" t="s">
        <v>501</v>
      </c>
      <c r="H12" t="s">
        <v>512</v>
      </c>
      <c r="I12" t="s">
        <v>506</v>
      </c>
      <c r="J12" t="s">
        <v>943</v>
      </c>
      <c r="K12" t="s">
        <v>506</v>
      </c>
      <c r="L12" t="s">
        <v>503</v>
      </c>
      <c r="N12" t="s">
        <v>503</v>
      </c>
      <c r="P12" t="s">
        <v>503</v>
      </c>
      <c r="Q12" t="s">
        <v>503</v>
      </c>
      <c r="S12" t="s">
        <v>506</v>
      </c>
    </row>
    <row r="13" spans="1:19" x14ac:dyDescent="0.25">
      <c r="B13" t="s">
        <v>495</v>
      </c>
      <c r="C13" t="s">
        <v>495</v>
      </c>
      <c r="D13" t="s">
        <v>495</v>
      </c>
      <c r="F13" t="s">
        <v>503</v>
      </c>
      <c r="G13" t="s">
        <v>511</v>
      </c>
      <c r="H13" t="s">
        <v>513</v>
      </c>
      <c r="J13" t="s">
        <v>506</v>
      </c>
      <c r="L13" t="s">
        <v>1036</v>
      </c>
      <c r="N13" t="s">
        <v>1036</v>
      </c>
      <c r="P13" t="s">
        <v>1036</v>
      </c>
      <c r="Q13" t="s">
        <v>1036</v>
      </c>
      <c r="S13" t="s">
        <v>495</v>
      </c>
    </row>
    <row r="14" spans="1:19" x14ac:dyDescent="0.25">
      <c r="B14" t="s">
        <v>510</v>
      </c>
      <c r="C14" t="s">
        <v>510</v>
      </c>
      <c r="D14" t="s">
        <v>510</v>
      </c>
      <c r="F14" t="s">
        <v>942</v>
      </c>
      <c r="G14" t="s">
        <v>503</v>
      </c>
      <c r="J14" t="s">
        <v>1022</v>
      </c>
      <c r="L14" t="s">
        <v>700</v>
      </c>
      <c r="N14" t="s">
        <v>700</v>
      </c>
      <c r="P14" t="s">
        <v>700</v>
      </c>
      <c r="Q14" t="s">
        <v>700</v>
      </c>
      <c r="S14" t="s">
        <v>510</v>
      </c>
    </row>
    <row r="15" spans="1:19" x14ac:dyDescent="0.25">
      <c r="F15" t="s">
        <v>504</v>
      </c>
      <c r="G15" t="s">
        <v>1036</v>
      </c>
      <c r="L15" t="s">
        <v>505</v>
      </c>
      <c r="N15" t="s">
        <v>505</v>
      </c>
      <c r="P15" t="s">
        <v>505</v>
      </c>
      <c r="Q15" t="s">
        <v>505</v>
      </c>
    </row>
    <row r="16" spans="1:19" x14ac:dyDescent="0.25">
      <c r="F16" t="s">
        <v>506</v>
      </c>
      <c r="G16" t="s">
        <v>700</v>
      </c>
      <c r="L16" t="s">
        <v>506</v>
      </c>
      <c r="N16" t="s">
        <v>506</v>
      </c>
      <c r="P16" t="s">
        <v>506</v>
      </c>
      <c r="Q16" t="s">
        <v>506</v>
      </c>
    </row>
    <row r="17" spans="1:17" x14ac:dyDescent="0.25">
      <c r="F17" t="s">
        <v>508</v>
      </c>
      <c r="G17" t="s">
        <v>505</v>
      </c>
      <c r="L17" t="s">
        <v>508</v>
      </c>
      <c r="N17" t="s">
        <v>508</v>
      </c>
      <c r="P17" t="s">
        <v>508</v>
      </c>
      <c r="Q17" t="s">
        <v>508</v>
      </c>
    </row>
    <row r="18" spans="1:17" x14ac:dyDescent="0.25">
      <c r="F18" t="s">
        <v>509</v>
      </c>
      <c r="G18" t="s">
        <v>506</v>
      </c>
      <c r="L18" t="s">
        <v>1023</v>
      </c>
      <c r="N18" t="s">
        <v>1023</v>
      </c>
      <c r="P18" t="s">
        <v>1023</v>
      </c>
      <c r="Q18" t="s">
        <v>1023</v>
      </c>
    </row>
    <row r="19" spans="1:17" x14ac:dyDescent="0.25">
      <c r="F19" t="s">
        <v>495</v>
      </c>
      <c r="G19" t="s">
        <v>508</v>
      </c>
      <c r="L19" t="s">
        <v>1033</v>
      </c>
      <c r="N19" t="s">
        <v>1033</v>
      </c>
      <c r="P19" t="s">
        <v>1033</v>
      </c>
      <c r="Q19" t="s">
        <v>509</v>
      </c>
    </row>
    <row r="20" spans="1:17" x14ac:dyDescent="0.25">
      <c r="F20" t="s">
        <v>510</v>
      </c>
      <c r="G20" t="s">
        <v>1023</v>
      </c>
      <c r="N20" t="s">
        <v>513</v>
      </c>
      <c r="Q20" t="s">
        <v>1033</v>
      </c>
    </row>
    <row r="21" spans="1:17" x14ac:dyDescent="0.25">
      <c r="G21" t="s">
        <v>495</v>
      </c>
    </row>
    <row r="22" spans="1:17" x14ac:dyDescent="0.25">
      <c r="G22" t="s">
        <v>1033</v>
      </c>
    </row>
    <row r="23" spans="1:17" x14ac:dyDescent="0.25">
      <c r="G23" t="s">
        <v>510</v>
      </c>
    </row>
    <row r="32" spans="1:17" x14ac:dyDescent="0.25">
      <c r="A32" s="297" t="s">
        <v>183</v>
      </c>
      <c r="B32" s="297" t="s">
        <v>173</v>
      </c>
      <c r="C32" s="297" t="s">
        <v>174</v>
      </c>
      <c r="D32" s="297" t="s">
        <v>175</v>
      </c>
      <c r="E32" s="297" t="s">
        <v>187</v>
      </c>
      <c r="F32" s="297" t="s">
        <v>179</v>
      </c>
      <c r="G32" s="297" t="s">
        <v>186</v>
      </c>
      <c r="H32" s="297" t="s">
        <v>176</v>
      </c>
      <c r="I32" s="297" t="s">
        <v>180</v>
      </c>
      <c r="J32" s="297" t="s">
        <v>181</v>
      </c>
      <c r="K32" s="297" t="s">
        <v>177</v>
      </c>
      <c r="L32" s="297" t="s">
        <v>185</v>
      </c>
      <c r="M32" s="297" t="s">
        <v>1028</v>
      </c>
      <c r="N32" s="297" t="s">
        <v>1027</v>
      </c>
      <c r="O32" s="297" t="s">
        <v>1026</v>
      </c>
      <c r="P32" s="297" t="s">
        <v>196</v>
      </c>
      <c r="Q32" s="297" t="s">
        <v>194</v>
      </c>
    </row>
    <row r="33" spans="1:17" x14ac:dyDescent="0.25">
      <c r="A33" s="296" t="str">
        <f t="array" ref="A33">IFERROR(INDEX($A$53:$A$130, SMALL(IF(ISERROR(FIND(A$32,$K$53:$K$130)),"", ROW($A$53:$A$130)-ROW($K$53)+1), ROW()-ROW($A$33)+1)),"")</f>
        <v>Akhorne the Squirrel</v>
      </c>
      <c r="B33" s="296" t="str">
        <f t="array" ref="B33">IFERROR(INDEX($A$53:$A$130, SMALL(IF(ISERROR(FIND(B$32,$K$53:$K$130)),"", ROW($A$53:$A$130)-ROW($K$53)+1), ROW()-ROW($A$33)+1)),"")</f>
        <v>Akhorne the Squirrel</v>
      </c>
      <c r="C33" s="296" t="str">
        <f t="array" ref="C33">IFERROR(INDEX($A$53:$A$130, SMALL(IF(ISERROR(FIND(C$32,$K$53:$K$130)),"", ROW($A$53:$A$130)-ROW($K$53)+1), ROW()-ROW($A$33)+1)),"")</f>
        <v>Akhorne the Squirrel</v>
      </c>
      <c r="D33" s="296" t="str">
        <f t="array" ref="D33">IFERROR(INDEX($A$53:$A$130, SMALL(IF(ISERROR(FIND(D$32,$K$53:$K$130)),"", ROW($A$53:$A$130)-ROW($K$53)+1), ROW()-ROW($A$33)+1)),"")</f>
        <v>Akhorne the Squirrel</v>
      </c>
      <c r="E33" s="296" t="str">
        <f t="array" ref="E33">IFERROR(INDEX($A$53:$A$130, SMALL(IF(ISERROR(FIND(E$32,$K$53:$K$130)),"", ROW($A$53:$A$130)-ROW($K$53)+1), ROW()-ROW($A$33)+1)),"")</f>
        <v>Akhorne the Squirrel</v>
      </c>
      <c r="F33" s="296" t="str">
        <f t="array" ref="F33">IFERROR(INDEX($A$53:$A$130, SMALL(IF(ISERROR(FIND(F$32,$K$53:$K$130)),"", ROW($A$53:$A$130)-ROW($K$53)+1), ROW()-ROW($A$33)+1)),"")</f>
        <v>Akhorne the Squirrel</v>
      </c>
      <c r="G33" s="296" t="str">
        <f t="array" ref="G33">IFERROR(INDEX($A$53:$A$130, SMALL(IF(ISERROR(FIND(G$32,$K$53:$K$130)),"", ROW($A$53:$A$130)-ROW($K$53)+1), ROW()-ROW($A$33)+1)),"")</f>
        <v>Akhorne the Squirrel</v>
      </c>
      <c r="H33" s="296" t="str">
        <f t="array" ref="H33">IFERROR(INDEX($A$53:$A$130, SMALL(IF(ISERROR(FIND(H$32,$K$53:$K$130)),"", ROW($A$53:$A$130)-ROW($K$53)+1), ROW()-ROW($A$33)+1)),"")</f>
        <v>Akhorne the Squirrel</v>
      </c>
      <c r="I33" s="296" t="str">
        <f t="array" ref="I33">IFERROR(INDEX($A$53:$A$130, SMALL(IF(ISERROR(FIND(I$32,$K$53:$K$130)),"", ROW($A$53:$A$130)-ROW($K$53)+1), ROW()-ROW($A$33)+1)),"")</f>
        <v>Akhorne the Squirrel</v>
      </c>
      <c r="J33" s="296" t="str">
        <f t="array" ref="J33">IFERROR(INDEX($A$53:$A$130, SMALL(IF(ISERROR(FIND(J$32,$K$53:$K$130)),"", ROW($A$53:$A$130)-ROW($K$53)+1), ROW()-ROW($A$33)+1)),"")</f>
        <v>Akhorne the Squirrel</v>
      </c>
      <c r="K33" s="296" t="str">
        <f t="array" ref="K33">IFERROR(INDEX($A$53:$A$130, SMALL(IF(ISERROR(FIND(K$32,$K$53:$K$130)),"", ROW($A$53:$A$130)-ROW($K$53)+1), ROW()-ROW($A$33)+1)),"")</f>
        <v>Akhorne the Squirrel</v>
      </c>
      <c r="L33" s="296" t="str">
        <f t="array" ref="L33">IFERROR(INDEX($A$53:$A$130, SMALL(IF(ISERROR(FIND(L$32,$K$53:$K$130)),"", ROW($A$53:$A$130)-ROW($K$53)+1), ROW()-ROW($A$33)+1)),"")</f>
        <v>Akhorne the Squirrel</v>
      </c>
      <c r="M33" s="296" t="str">
        <f t="array" ref="M33">IFERROR(INDEX($A$53:$A$130, SMALL(IF(ISERROR(FIND(M$32,$K$53:$K$130)),"", ROW($A$53:$A$130)-ROW($K$53)+1), ROW()-ROW($A$33)+1)),"")</f>
        <v/>
      </c>
      <c r="N33" s="296" t="str">
        <f t="array" ref="N33">IFERROR(INDEX($A$53:$A$130, SMALL(IF(ISERROR(FIND(N$32,$K$53:$K$130)),"", ROW($A$53:$A$130)-ROW($K$53)+1), ROW()-ROW($A$33)+1)),"")</f>
        <v>Max Spleenripper</v>
      </c>
      <c r="O33" s="296" t="str">
        <f t="array" ref="O33">IFERROR(INDEX($A$53:$A$130, SMALL(IF(ISERROR(FIND(O$32,$K$53:$K$130)),"", ROW($A$53:$A$130)-ROW($K$53)+1), ROW()-ROW($A$33)+1)),"")</f>
        <v/>
      </c>
      <c r="P33" s="296" t="str">
        <f t="array" ref="P33">IFERROR(INDEX($A$53:$A$130, SMALL(IF(ISERROR(FIND(P$32,$K$53:$K$130)),"", ROW($A$53:$A$130)-ROW($K$53)+1), ROW()-ROW($A$33)+1)),"")</f>
        <v/>
      </c>
      <c r="Q33" s="296" t="str">
        <f t="array" ref="Q33">IFERROR(INDEX($A$53:$A$130, SMALL(IF(ISERROR(FIND(Q$32,$K$53:$K$130)),"", ROW($A$53:$A$130)-ROW($K$53)+1), ROW()-ROW($A$33)+1)),"")</f>
        <v/>
      </c>
    </row>
    <row r="34" spans="1:17" x14ac:dyDescent="0.25">
      <c r="A34" s="296" t="str">
        <f t="array" ref="A34">IFERROR(INDEX($A$53:$A$130, SMALL(IF(ISERROR(FIND(A$32,$K$53:$K$130)),"", ROW($A$53:$A$130)-ROW($K$53)+1), ROW()-ROW($A$33)+1)),"")</f>
        <v>G&amp;C: Grak</v>
      </c>
      <c r="B34" s="296" t="str">
        <f t="array" ref="B34">IFERROR(INDEX($A$53:$A$130, SMALL(IF(ISERROR(FIND(B$32,$K$53:$K$130)),"", ROW($A$53:$A$130)-ROW($K$53)+1), ROW()-ROW($A$33)+1)),"")</f>
        <v>Bomber Dribblesnot</v>
      </c>
      <c r="C34" s="296" t="str">
        <f t="array" ref="C34">IFERROR(INDEX($A$53:$A$130, SMALL(IF(ISERROR(FIND(C$32,$K$53:$K$130)),"", ROW($A$53:$A$130)-ROW($K$53)+1), ROW()-ROW($A$33)+1)),"")</f>
        <v>Eldril Sidewinder</v>
      </c>
      <c r="D34" s="296" t="str">
        <f t="array" ref="D34">IFERROR(INDEX($A$53:$A$130, SMALL(IF(ISERROR(FIND(D$32,$K$53:$K$130)),"", ROW($A$53:$A$130)-ROW($K$53)+1), ROW()-ROW($A$33)+1)),"")</f>
        <v>Barik Farblast</v>
      </c>
      <c r="E34" s="296" t="str">
        <f t="array" ref="E34">IFERROR(INDEX($A$53:$A$130, SMALL(IF(ISERROR(FIND(E$32,$K$53:$K$130)),"", ROW($A$53:$A$130)-ROW($K$53)+1), ROW()-ROW($A$33)+1)),"")</f>
        <v>G&amp;C: Grak</v>
      </c>
      <c r="F34" s="296" t="str">
        <f t="array" ref="F34">IFERROR(INDEX($A$53:$A$130, SMALL(IF(ISERROR(FIND(F$32,$K$53:$K$130)),"", ROW($A$53:$A$130)-ROW($K$53)+1), ROW()-ROW($A$33)+1)),"")</f>
        <v>G&amp;C: Grak</v>
      </c>
      <c r="G34" s="296" t="str">
        <f t="array" ref="G34">IFERROR(INDEX($A$53:$A$130, SMALL(IF(ISERROR(FIND(G$32,$K$53:$K$130)),"", ROW($A$53:$A$130)-ROW($K$53)+1), ROW()-ROW($A$33)+1)),"")</f>
        <v>G&amp;C: Grak</v>
      </c>
      <c r="H34" s="296" t="str">
        <f t="array" ref="H34">IFERROR(INDEX($A$53:$A$130, SMALL(IF(ISERROR(FIND(H$32,$K$53:$K$130)),"", ROW($A$53:$A$130)-ROW($K$53)+1), ROW()-ROW($A$33)+1)),"")</f>
        <v>Barik Farblast</v>
      </c>
      <c r="I34" s="296" t="str">
        <f t="array" ref="I34">IFERROR(INDEX($A$53:$A$130, SMALL(IF(ISERROR(FIND(I$32,$K$53:$K$130)),"", ROW($A$53:$A$130)-ROW($K$53)+1), ROW()-ROW($A$33)+1)),"")</f>
        <v>Bryce 'The Slice' Cambuel</v>
      </c>
      <c r="J34" s="296" t="str">
        <f t="array" ref="J34">IFERROR(INDEX($A$53:$A$130, SMALL(IF(ISERROR(FIND(J$32,$K$53:$K$130)),"", ROW($A$53:$A$130)-ROW($K$53)+1), ROW()-ROW($A$33)+1)),"")</f>
        <v>Bomber Dribblesnot</v>
      </c>
      <c r="K34" s="296" t="str">
        <f t="array" ref="K34">IFERROR(INDEX($A$53:$A$130, SMALL(IF(ISERROR(FIND(K$32,$K$53:$K$130)),"", ROW($A$53:$A$130)-ROW($K$53)+1), ROW()-ROW($A$33)+1)),"")</f>
        <v>G&amp;C: Grak</v>
      </c>
      <c r="L34" s="296" t="str">
        <f t="array" ref="L34">IFERROR(INDEX($A$53:$A$130, SMALL(IF(ISERROR(FIND(L$32,$K$53:$K$130)),"", ROW($A$53:$A$130)-ROW($K$53)+1), ROW()-ROW($A$33)+1)),"")</f>
        <v>Glart Smashrip</v>
      </c>
      <c r="M34" s="296" t="str">
        <f t="array" ref="M34">IFERROR(INDEX($A$53:$A$130, SMALL(IF(ISERROR(FIND(M$32,$K$53:$K$130)),"", ROW($A$53:$A$130)-ROW($K$53)+1), ROW()-ROW($A$33)+1)),"")</f>
        <v/>
      </c>
      <c r="N34" s="296" t="str">
        <f t="array" ref="N34">IFERROR(INDEX($A$53:$A$130, SMALL(IF(ISERROR(FIND(N$32,$K$53:$K$130)),"", ROW($A$53:$A$130)-ROW($K$53)+1), ROW()-ROW($A$33)+1)),"")</f>
        <v>Scyla Anfingrimm</v>
      </c>
      <c r="O34" s="296" t="str">
        <f t="array" ref="O34">IFERROR(INDEX($A$53:$A$130, SMALL(IF(ISERROR(FIND(O$32,$K$53:$K$130)),"", ROW($A$53:$A$130)-ROW($K$53)+1), ROW()-ROW($A$33)+1)),"")</f>
        <v/>
      </c>
      <c r="P34" s="296" t="str">
        <f t="array" ref="P34">IFERROR(INDEX($A$53:$A$130, SMALL(IF(ISERROR(FIND(P$32,$K$53:$K$130)),"", ROW($A$53:$A$130)-ROW($K$53)+1), ROW()-ROW($A$33)+1)),"")</f>
        <v/>
      </c>
      <c r="Q34" s="296" t="str">
        <f t="array" ref="Q34">IFERROR(INDEX($A$53:$A$130, SMALL(IF(ISERROR(FIND(Q$32,$K$53:$K$130)),"", ROW($A$53:$A$130)-ROW($K$53)+1), ROW()-ROW($A$33)+1)),"")</f>
        <v/>
      </c>
    </row>
    <row r="35" spans="1:17" x14ac:dyDescent="0.25">
      <c r="A35" s="296" t="str">
        <f t="array" ref="A35">IFERROR(INDEX($A$53:$A$130, SMALL(IF(ISERROR(FIND(A$32,$K$53:$K$130)),"", ROW($A$53:$A$130)-ROW($K$53)+1), ROW()-ROW($A$33)+1)),"")</f>
        <v>G&amp;C: Crumbleberry</v>
      </c>
      <c r="B35" s="296" t="str">
        <f t="array" ref="B35">IFERROR(INDEX($A$53:$A$130, SMALL(IF(ISERROR(FIND(B$32,$K$53:$K$130)),"", ROW($A$53:$A$130)-ROW($K$53)+1), ROW()-ROW($A$33)+1)),"")</f>
        <v>Fungus the Loon</v>
      </c>
      <c r="C35" s="296" t="str">
        <f t="array" ref="C35">IFERROR(INDEX($A$53:$A$130, SMALL(IF(ISERROR(FIND(C$32,$K$53:$K$130)),"", ROW($A$53:$A$130)-ROW($K$53)+1), ROW()-ROW($A$33)+1)),"")</f>
        <v>G&amp;C: Grak</v>
      </c>
      <c r="D35" s="296" t="str">
        <f t="array" ref="D35">IFERROR(INDEX($A$53:$A$130, SMALL(IF(ISERROR(FIND(D$32,$K$53:$K$130)),"", ROW($A$53:$A$130)-ROW($K$53)+1), ROW()-ROW($A$33)+1)),"")</f>
        <v>Deeproot Strongbranch</v>
      </c>
      <c r="E35" s="296" t="str">
        <f t="array" ref="E35">IFERROR(INDEX($A$53:$A$130, SMALL(IF(ISERROR(FIND(E$32,$K$53:$K$130)),"", ROW($A$53:$A$130)-ROW($K$53)+1), ROW()-ROW($A$33)+1)),"")</f>
        <v>G&amp;C: Crumbleberry</v>
      </c>
      <c r="F35" s="296" t="str">
        <f t="array" ref="F35">IFERROR(INDEX($A$53:$A$130, SMALL(IF(ISERROR(FIND(F$32,$K$53:$K$130)),"", ROW($A$53:$A$130)-ROW($K$53)+1), ROW()-ROW($A$33)+1)),"")</f>
        <v>G&amp;C: Crumbleberry</v>
      </c>
      <c r="G35" s="296" t="str">
        <f t="array" ref="G35">IFERROR(INDEX($A$53:$A$130, SMALL(IF(ISERROR(FIND(G$32,$K$53:$K$130)),"", ROW($A$53:$A$130)-ROW($K$53)+1), ROW()-ROW($A$33)+1)),"")</f>
        <v>G&amp;C: Crumbleberry</v>
      </c>
      <c r="H35" s="296" t="str">
        <f t="array" ref="H35">IFERROR(INDEX($A$53:$A$130, SMALL(IF(ISERROR(FIND(H$32,$K$53:$K$130)),"", ROW($A$53:$A$130)-ROW($K$53)+1), ROW()-ROW($A$33)+1)),"")</f>
        <v>Deeproot Strongbranch</v>
      </c>
      <c r="I35" s="296" t="str">
        <f t="array" ref="I35">IFERROR(INDEX($A$53:$A$130, SMALL(IF(ISERROR(FIND(I$32,$K$53:$K$130)),"", ROW($A$53:$A$130)-ROW($K$53)+1), ROW()-ROW($A$33)+1)),"")</f>
        <v>Frank 'n' Stein</v>
      </c>
      <c r="J35" s="296" t="str">
        <f t="array" ref="J35">IFERROR(INDEX($A$53:$A$130, SMALL(IF(ISERROR(FIND(J$32,$K$53:$K$130)),"", ROW($A$53:$A$130)-ROW($K$53)+1), ROW()-ROW($A$33)+1)),"")</f>
        <v>Fungus the Loon</v>
      </c>
      <c r="K35" s="296" t="str">
        <f t="array" ref="K35">IFERROR(INDEX($A$53:$A$130, SMALL(IF(ISERROR(FIND(K$32,$K$53:$K$130)),"", ROW($A$53:$A$130)-ROW($K$53)+1), ROW()-ROW($A$33)+1)),"")</f>
        <v>G&amp;C: Crumbleberry</v>
      </c>
      <c r="L35" s="296" t="str">
        <f t="array" ref="L35">IFERROR(INDEX($A$53:$A$130, SMALL(IF(ISERROR(FIND(L$32,$K$53:$K$130)),"", ROW($A$53:$A$130)-ROW($K$53)+1), ROW()-ROW($A$33)+1)),"")</f>
        <v>G&amp;C: Grak</v>
      </c>
      <c r="M35" s="296" t="str">
        <f t="array" ref="M35">IFERROR(INDEX($A$53:$A$130, SMALL(IF(ISERROR(FIND(M$32,$K$53:$K$130)),"", ROW($A$53:$A$130)-ROW($K$53)+1), ROW()-ROW($A$33)+1)),"")</f>
        <v/>
      </c>
      <c r="N35" s="296" t="str">
        <f t="array" ref="N35">IFERROR(INDEX($A$53:$A$130, SMALL(IF(ISERROR(FIND(N$32,$K$53:$K$130)),"", ROW($A$53:$A$130)-ROW($K$53)+1), ROW()-ROW($A$33)+1)),"")</f>
        <v/>
      </c>
      <c r="O35" s="296" t="str">
        <f t="array" ref="O35">IFERROR(INDEX($A$53:$A$130, SMALL(IF(ISERROR(FIND(O$32,$K$53:$K$130)),"", ROW($A$53:$A$130)-ROW($K$53)+1), ROW()-ROW($A$33)+1)),"")</f>
        <v/>
      </c>
      <c r="P35" s="296" t="str">
        <f t="array" ref="P35">IFERROR(INDEX($A$53:$A$130, SMALL(IF(ISERROR(FIND(P$32,$K$53:$K$130)),"", ROW($A$53:$A$130)-ROW($K$53)+1), ROW()-ROW($A$33)+1)),"")</f>
        <v/>
      </c>
      <c r="Q35" s="296" t="str">
        <f t="array" ref="Q35">IFERROR(INDEX($A$53:$A$130, SMALL(IF(ISERROR(FIND(Q$32,$K$53:$K$130)),"", ROW($A$53:$A$130)-ROW($K$53)+1), ROW()-ROW($A$33)+1)),"")</f>
        <v/>
      </c>
    </row>
    <row r="36" spans="1:17" x14ac:dyDescent="0.25">
      <c r="A36" s="296" t="str">
        <f t="array" ref="A36">IFERROR(INDEX($A$53:$A$130, SMALL(IF(ISERROR(FIND(A$32,$K$53:$K$130)),"", ROW($A$53:$A$130)-ROW($K$53)+1), ROW()-ROW($A$33)+1)),"")</f>
        <v>Helmut Wulf</v>
      </c>
      <c r="B36" s="296" t="str">
        <f t="array" ref="B36">IFERROR(INDEX($A$53:$A$130, SMALL(IF(ISERROR(FIND(B$32,$K$53:$K$130)),"", ROW($A$53:$A$130)-ROW($K$53)+1), ROW()-ROW($A$33)+1)),"")</f>
        <v>G&amp;C: Grak</v>
      </c>
      <c r="C36" s="296" t="str">
        <f t="array" ref="C36">IFERROR(INDEX($A$53:$A$130, SMALL(IF(ISERROR(FIND(C$32,$K$53:$K$130)),"", ROW($A$53:$A$130)-ROW($K$53)+1), ROW()-ROW($A$33)+1)),"")</f>
        <v>G&amp;C: Crumbleberry</v>
      </c>
      <c r="D36" s="296" t="str">
        <f t="array" ref="D36">IFERROR(INDEX($A$53:$A$130, SMALL(IF(ISERROR(FIND(D$32,$K$53:$K$130)),"", ROW($A$53:$A$130)-ROW($K$53)+1), ROW()-ROW($A$33)+1)),"")</f>
        <v>G&amp;C: Grak</v>
      </c>
      <c r="E36" s="296" t="str">
        <f t="array" ref="E36">IFERROR(INDEX($A$53:$A$130, SMALL(IF(ISERROR(FIND(E$32,$K$53:$K$130)),"", ROW($A$53:$A$130)-ROW($K$53)+1), ROW()-ROW($A$33)+1)),"")</f>
        <v>Helmut Wulf</v>
      </c>
      <c r="F36" s="296" t="str">
        <f t="array" ref="F36">IFERROR(INDEX($A$53:$A$130, SMALL(IF(ISERROR(FIND(F$32,$K$53:$K$130)),"", ROW($A$53:$A$130)-ROW($K$53)+1), ROW()-ROW($A$33)+1)),"")</f>
        <v>Grombrindal, the White Dwarf</v>
      </c>
      <c r="G36" s="296" t="str">
        <f t="array" ref="G36">IFERROR(INDEX($A$53:$A$130, SMALL(IF(ISERROR(FIND(G$32,$K$53:$K$130)),"", ROW($A$53:$A$130)-ROW($K$53)+1), ROW()-ROW($A$33)+1)),"")</f>
        <v>Helmut Wulf</v>
      </c>
      <c r="H36" s="296" t="str">
        <f t="array" ref="H36">IFERROR(INDEX($A$53:$A$130, SMALL(IF(ISERROR(FIND(H$32,$K$53:$K$130)),"", ROW($A$53:$A$130)-ROW($K$53)+1), ROW()-ROW($A$33)+1)),"")</f>
        <v>Frank 'n' Stein</v>
      </c>
      <c r="I36" s="296" t="str">
        <f t="array" ref="I36">IFERROR(INDEX($A$53:$A$130, SMALL(IF(ISERROR(FIND(I$32,$K$53:$K$130)),"", ROW($A$53:$A$130)-ROW($K$53)+1), ROW()-ROW($A$33)+1)),"")</f>
        <v>G&amp;C: Grak</v>
      </c>
      <c r="J36" s="296" t="str">
        <f t="array" ref="J36">IFERROR(INDEX($A$53:$A$130, SMALL(IF(ISERROR(FIND(J$32,$K$53:$K$130)),"", ROW($A$53:$A$130)-ROW($K$53)+1), ROW()-ROW($A$33)+1)),"")</f>
        <v>Glart Smashrip</v>
      </c>
      <c r="K36" s="296" t="str">
        <f t="array" ref="K36">IFERROR(INDEX($A$53:$A$130, SMALL(IF(ISERROR(FIND(K$32,$K$53:$K$130)),"", ROW($A$53:$A$130)-ROW($K$53)+1), ROW()-ROW($A$33)+1)),"")</f>
        <v>Grim Ironjaw</v>
      </c>
      <c r="L36" s="296" t="str">
        <f t="array" ref="L36">IFERROR(INDEX($A$53:$A$130, SMALL(IF(ISERROR(FIND(L$32,$K$53:$K$130)),"", ROW($A$53:$A$130)-ROW($K$53)+1), ROW()-ROW($A$33)+1)),"")</f>
        <v>G&amp;C: Crumbleberry</v>
      </c>
      <c r="M36" s="296" t="str">
        <f t="array" ref="M36">IFERROR(INDEX($A$53:$A$130, SMALL(IF(ISERROR(FIND(M$32,$K$53:$K$130)),"", ROW($A$53:$A$130)-ROW($K$53)+1), ROW()-ROW($A$33)+1)),"")</f>
        <v/>
      </c>
      <c r="N36" s="296" t="str">
        <f t="array" ref="N36">IFERROR(INDEX($A$53:$A$130, SMALL(IF(ISERROR(FIND(N$32,$K$53:$K$130)),"", ROW($A$53:$A$130)-ROW($K$53)+1), ROW()-ROW($A$33)+1)),"")</f>
        <v/>
      </c>
      <c r="O36" s="296" t="str">
        <f t="array" ref="O36">IFERROR(INDEX($A$53:$A$130, SMALL(IF(ISERROR(FIND(O$32,$K$53:$K$130)),"", ROW($A$53:$A$130)-ROW($K$53)+1), ROW()-ROW($A$33)+1)),"")</f>
        <v/>
      </c>
      <c r="P36" s="296" t="str">
        <f t="array" ref="P36">IFERROR(INDEX($A$53:$A$130, SMALL(IF(ISERROR(FIND(P$32,$K$53:$K$130)),"", ROW($A$53:$A$130)-ROW($K$53)+1), ROW()-ROW($A$33)+1)),"")</f>
        <v/>
      </c>
      <c r="Q36" s="296" t="str">
        <f t="array" ref="Q36">IFERROR(INDEX($A$53:$A$130, SMALL(IF(ISERROR(FIND(Q$32,$K$53:$K$130)),"", ROW($A$53:$A$130)-ROW($K$53)+1), ROW()-ROW($A$33)+1)),"")</f>
        <v/>
      </c>
    </row>
    <row r="37" spans="1:17" x14ac:dyDescent="0.25">
      <c r="A37" s="296" t="str">
        <f t="array" ref="A37">IFERROR(INDEX($A$53:$A$130, SMALL(IF(ISERROR(FIND(A$32,$K$53:$K$130)),"", ROW($A$53:$A$130)-ROW($K$53)+1), ROW()-ROW($A$33)+1)),"")</f>
        <v>Morg 'n' Thorg</v>
      </c>
      <c r="B37" s="296" t="str">
        <f t="array" ref="B37">IFERROR(INDEX($A$53:$A$130, SMALL(IF(ISERROR(FIND(B$32,$K$53:$K$130)),"", ROW($A$53:$A$130)-ROW($K$53)+1), ROW()-ROW($A$33)+1)),"")</f>
        <v>G&amp;C: Crumbleberry</v>
      </c>
      <c r="C37" s="296" t="str">
        <f t="array" ref="C37">IFERROR(INDEX($A$53:$A$130, SMALL(IF(ISERROR(FIND(C$32,$K$53:$K$130)),"", ROW($A$53:$A$130)-ROW($K$53)+1), ROW()-ROW($A$33)+1)),"")</f>
        <v>Helmut Wulf</v>
      </c>
      <c r="D37" s="296" t="str">
        <f t="array" ref="D37">IFERROR(INDEX($A$53:$A$130, SMALL(IF(ISERROR(FIND(D$32,$K$53:$K$130)),"", ROW($A$53:$A$130)-ROW($K$53)+1), ROW()-ROW($A$33)+1)),"")</f>
        <v>G&amp;C: Crumbleberry</v>
      </c>
      <c r="E37" s="296" t="str">
        <f t="array" ref="E37">IFERROR(INDEX($A$53:$A$130, SMALL(IF(ISERROR(FIND(E$32,$K$53:$K$130)),"", ROW($A$53:$A$130)-ROW($K$53)+1), ROW()-ROW($A$33)+1)),"")</f>
        <v>Morg 'n' Thorg</v>
      </c>
      <c r="F37" s="296" t="str">
        <f t="array" ref="F37">IFERROR(INDEX($A$53:$A$130, SMALL(IF(ISERROR(FIND(F$32,$K$53:$K$130)),"", ROW($A$53:$A$130)-ROW($K$53)+1), ROW()-ROW($A$33)+1)),"")</f>
        <v>Helmut Wulf</v>
      </c>
      <c r="G37" s="296" t="str">
        <f t="array" ref="G37">IFERROR(INDEX($A$53:$A$130, SMALL(IF(ISERROR(FIND(G$32,$K$53:$K$130)),"", ROW($A$53:$A$130)-ROW($K$53)+1), ROW()-ROW($A$33)+1)),"")</f>
        <v>Morg 'n' Thorg</v>
      </c>
      <c r="H37" s="296" t="str">
        <f t="array" ref="H37">IFERROR(INDEX($A$53:$A$130, SMALL(IF(ISERROR(FIND(H$32,$K$53:$K$130)),"", ROW($A$53:$A$130)-ROW($K$53)+1), ROW()-ROW($A$33)+1)),"")</f>
        <v>G&amp;C: Grak</v>
      </c>
      <c r="I37" s="296" t="str">
        <f t="array" ref="I37">IFERROR(INDEX($A$53:$A$130, SMALL(IF(ISERROR(FIND(I$32,$K$53:$K$130)),"", ROW($A$53:$A$130)-ROW($K$53)+1), ROW()-ROW($A$33)+1)),"")</f>
        <v>G&amp;C: Crumbleberry</v>
      </c>
      <c r="J37" s="296" t="str">
        <f t="array" ref="J37">IFERROR(INDEX($A$53:$A$130, SMALL(IF(ISERROR(FIND(J$32,$K$53:$K$130)),"", ROW($A$53:$A$130)-ROW($K$53)+1), ROW()-ROW($A$33)+1)),"")</f>
        <v>G&amp;C: Grak</v>
      </c>
      <c r="K37" s="296" t="str">
        <f t="array" ref="K37">IFERROR(INDEX($A$53:$A$130, SMALL(IF(ISERROR(FIND(K$32,$K$53:$K$130)),"", ROW($A$53:$A$130)-ROW($K$53)+1), ROW()-ROW($A$33)+1)),"")</f>
        <v>Grombrindal, the White Dwarf</v>
      </c>
      <c r="L37" s="296" t="str">
        <f t="array" ref="L37">IFERROR(INDEX($A$53:$A$130, SMALL(IF(ISERROR(FIND(L$32,$K$53:$K$130)),"", ROW($A$53:$A$130)-ROW($K$53)+1), ROW()-ROW($A$33)+1)),"")</f>
        <v>Grashnak Blackhoof</v>
      </c>
      <c r="M37" s="296" t="str">
        <f t="array" ref="M37">IFERROR(INDEX($A$53:$A$130, SMALL(IF(ISERROR(FIND(M$32,$K$53:$K$130)),"", ROW($A$53:$A$130)-ROW($K$53)+1), ROW()-ROW($A$33)+1)),"")</f>
        <v/>
      </c>
      <c r="N37" s="296" t="str">
        <f t="array" ref="N37">IFERROR(INDEX($A$53:$A$130, SMALL(IF(ISERROR(FIND(N$32,$K$53:$K$130)),"", ROW($A$53:$A$130)-ROW($K$53)+1), ROW()-ROW($A$33)+1)),"")</f>
        <v/>
      </c>
      <c r="O37" s="296" t="str">
        <f t="array" ref="O37">IFERROR(INDEX($A$53:$A$130, SMALL(IF(ISERROR(FIND(O$32,$K$53:$K$130)),"", ROW($A$53:$A$130)-ROW($K$53)+1), ROW()-ROW($A$33)+1)),"")</f>
        <v/>
      </c>
      <c r="P37" s="296" t="str">
        <f t="array" ref="P37">IFERROR(INDEX($A$53:$A$130, SMALL(IF(ISERROR(FIND(P$32,$K$53:$K$130)),"", ROW($A$53:$A$130)-ROW($K$53)+1), ROW()-ROW($A$33)+1)),"")</f>
        <v/>
      </c>
      <c r="Q37" s="296" t="str">
        <f t="array" ref="Q37">IFERROR(INDEX($A$53:$A$130, SMALL(IF(ISERROR(FIND(Q$32,$K$53:$K$130)),"", ROW($A$53:$A$130)-ROW($K$53)+1), ROW()-ROW($A$33)+1)),"")</f>
        <v/>
      </c>
    </row>
    <row r="38" spans="1:17" x14ac:dyDescent="0.25">
      <c r="A38" s="296" t="str">
        <f t="array" ref="A38">IFERROR(INDEX($A$53:$A$130, SMALL(IF(ISERROR(FIND(A$32,$K$53:$K$130)),"", ROW($A$53:$A$130)-ROW($K$53)+1), ROW()-ROW($A$33)+1)),"")</f>
        <v/>
      </c>
      <c r="B38" s="296" t="str">
        <f t="array" ref="B38">IFERROR(INDEX($A$53:$A$130, SMALL(IF(ISERROR(FIND(B$32,$K$53:$K$130)),"", ROW($A$53:$A$130)-ROW($K$53)+1), ROW()-ROW($A$33)+1)),"")</f>
        <v>Helmut Wulf</v>
      </c>
      <c r="C38" s="296" t="str">
        <f t="array" ref="C38">IFERROR(INDEX($A$53:$A$130, SMALL(IF(ISERROR(FIND(C$32,$K$53:$K$130)),"", ROW($A$53:$A$130)-ROW($K$53)+1), ROW()-ROW($A$33)+1)),"")</f>
        <v>Morg 'n' Thorg</v>
      </c>
      <c r="D38" s="296" t="str">
        <f t="array" ref="D38">IFERROR(INDEX($A$53:$A$130, SMALL(IF(ISERROR(FIND(D$32,$K$53:$K$130)),"", ROW($A$53:$A$130)-ROW($K$53)+1), ROW()-ROW($A$33)+1)),"")</f>
        <v>Griff Oberwald</v>
      </c>
      <c r="E38" s="296" t="str">
        <f t="array" ref="E38">IFERROR(INDEX($A$53:$A$130, SMALL(IF(ISERROR(FIND(E$32,$K$53:$K$130)),"", ROW($A$53:$A$130)-ROW($K$53)+1), ROW()-ROW($A$33)+1)),"")</f>
        <v/>
      </c>
      <c r="F38" s="296" t="str">
        <f t="array" ref="F38">IFERROR(INDEX($A$53:$A$130, SMALL(IF(ISERROR(FIND(F$32,$K$53:$K$130)),"", ROW($A$53:$A$130)-ROW($K$53)+1), ROW()-ROW($A$33)+1)),"")</f>
        <v>Karla von Kill</v>
      </c>
      <c r="G38" s="296" t="str">
        <f t="array" ref="G38">IFERROR(INDEX($A$53:$A$130, SMALL(IF(ISERROR(FIND(G$32,$K$53:$K$130)),"", ROW($A$53:$A$130)-ROW($K$53)+1), ROW()-ROW($A$33)+1)),"")</f>
        <v/>
      </c>
      <c r="H38" s="296" t="str">
        <f t="array" ref="H38">IFERROR(INDEX($A$53:$A$130, SMALL(IF(ISERROR(FIND(H$32,$K$53:$K$130)),"", ROW($A$53:$A$130)-ROW($K$53)+1), ROW()-ROW($A$33)+1)),"")</f>
        <v>G&amp;C: Crumbleberry</v>
      </c>
      <c r="I38" s="296" t="str">
        <f t="array" ref="I38">IFERROR(INDEX($A$53:$A$130, SMALL(IF(ISERROR(FIND(I$32,$K$53:$K$130)),"", ROW($A$53:$A$130)-ROW($K$53)+1), ROW()-ROW($A$33)+1)),"")</f>
        <v>Gretchen Wächter</v>
      </c>
      <c r="J38" s="296" t="str">
        <f t="array" ref="J38">IFERROR(INDEX($A$53:$A$130, SMALL(IF(ISERROR(FIND(J$32,$K$53:$K$130)),"", ROW($A$53:$A$130)-ROW($K$53)+1), ROW()-ROW($A$33)+1)),"")</f>
        <v>G&amp;C: Crumbleberry</v>
      </c>
      <c r="K38" s="296" t="str">
        <f t="array" ref="K38">IFERROR(INDEX($A$53:$A$130, SMALL(IF(ISERROR(FIND(K$32,$K$53:$K$130)),"", ROW($A$53:$A$130)-ROW($K$53)+1), ROW()-ROW($A$33)+1)),"")</f>
        <v>Helmut Wulf</v>
      </c>
      <c r="L38" s="296" t="str">
        <f t="array" ref="L38">IFERROR(INDEX($A$53:$A$130, SMALL(IF(ISERROR(FIND(L$32,$K$53:$K$130)),"", ROW($A$53:$A$130)-ROW($K$53)+1), ROW()-ROW($A$33)+1)),"")</f>
        <v>Hakflem Skuttlespike</v>
      </c>
      <c r="M38" s="296" t="str">
        <f t="array" ref="M38">IFERROR(INDEX($A$53:$A$130, SMALL(IF(ISERROR(FIND(M$32,$K$53:$K$130)),"", ROW($A$53:$A$130)-ROW($K$53)+1), ROW()-ROW($A$33)+1)),"")</f>
        <v/>
      </c>
      <c r="N38" s="296" t="str">
        <f t="array" ref="N38">IFERROR(INDEX($A$53:$A$130, SMALL(IF(ISERROR(FIND(N$32,$K$53:$K$130)),"", ROW($A$53:$A$130)-ROW($K$53)+1), ROW()-ROW($A$33)+1)),"")</f>
        <v/>
      </c>
      <c r="O38" s="296" t="str">
        <f t="array" ref="O38">IFERROR(INDEX($A$53:$A$130, SMALL(IF(ISERROR(FIND(O$32,$K$53:$K$130)),"", ROW($A$53:$A$130)-ROW($K$53)+1), ROW()-ROW($A$33)+1)),"")</f>
        <v/>
      </c>
      <c r="P38" s="296" t="str">
        <f t="array" ref="P38">IFERROR(INDEX($A$53:$A$130, SMALL(IF(ISERROR(FIND(P$32,$K$53:$K$130)),"", ROW($A$53:$A$130)-ROW($K$53)+1), ROW()-ROW($A$33)+1)),"")</f>
        <v/>
      </c>
      <c r="Q38" s="296" t="str">
        <f t="array" ref="Q38">IFERROR(INDEX($A$53:$A$130, SMALL(IF(ISERROR(FIND(Q$32,$K$53:$K$130)),"", ROW($A$53:$A$130)-ROW($K$53)+1), ROW()-ROW($A$33)+1)),"")</f>
        <v/>
      </c>
    </row>
    <row r="39" spans="1:17" x14ac:dyDescent="0.25">
      <c r="A39" s="296" t="str">
        <f t="array" ref="A39">IFERROR(INDEX($A$53:$A$130, SMALL(IF(ISERROR(FIND(A$32,$K$53:$K$130)),"", ROW($A$53:$A$130)-ROW($K$53)+1), ROW()-ROW($A$33)+1)),"")</f>
        <v/>
      </c>
      <c r="B39" s="296" t="str">
        <f t="array" ref="B39">IFERROR(INDEX($A$53:$A$130, SMALL(IF(ISERROR(FIND(B$32,$K$53:$K$130)),"", ROW($A$53:$A$130)-ROW($K$53)+1), ROW()-ROW($A$33)+1)),"")</f>
        <v>Morg 'n' Thorg</v>
      </c>
      <c r="C39" s="296" t="str">
        <f t="array" ref="C39">IFERROR(INDEX($A$53:$A$130, SMALL(IF(ISERROR(FIND(C$32,$K$53:$K$130)),"", ROW($A$53:$A$130)-ROW($K$53)+1), ROW()-ROW($A$33)+1)),"")</f>
        <v>Roxana Darknail</v>
      </c>
      <c r="D39" s="296" t="str">
        <f t="array" ref="D39">IFERROR(INDEX($A$53:$A$130, SMALL(IF(ISERROR(FIND(D$32,$K$53:$K$130)),"", ROW($A$53:$A$130)-ROW($K$53)+1), ROW()-ROW($A$33)+1)),"")</f>
        <v>Grim Ironjaw</v>
      </c>
      <c r="E39" s="296" t="str">
        <f t="array" ref="E39">IFERROR(INDEX($A$53:$A$130, SMALL(IF(ISERROR(FIND(E$32,$K$53:$K$130)),"", ROW($A$53:$A$130)-ROW($K$53)+1), ROW()-ROW($A$33)+1)),"")</f>
        <v/>
      </c>
      <c r="F39" s="296" t="str">
        <f t="array" ref="F39">IFERROR(INDEX($A$53:$A$130, SMALL(IF(ISERROR(FIND(F$32,$K$53:$K$130)),"", ROW($A$53:$A$130)-ROW($K$53)+1), ROW()-ROW($A$33)+1)),"")</f>
        <v>Mighty Zug</v>
      </c>
      <c r="G39" s="296" t="str">
        <f t="array" ref="G39">IFERROR(INDEX($A$53:$A$130, SMALL(IF(ISERROR(FIND(G$32,$K$53:$K$130)),"", ROW($A$53:$A$130)-ROW($K$53)+1), ROW()-ROW($A$33)+1)),"")</f>
        <v/>
      </c>
      <c r="H39" s="296" t="str">
        <f t="array" ref="H39">IFERROR(INDEX($A$53:$A$130, SMALL(IF(ISERROR(FIND(H$32,$K$53:$K$130)),"", ROW($A$53:$A$130)-ROW($K$53)+1), ROW()-ROW($A$33)+1)),"")</f>
        <v>Griff Oberwald</v>
      </c>
      <c r="I39" s="296" t="str">
        <f t="array" ref="I39">IFERROR(INDEX($A$53:$A$130, SMALL(IF(ISERROR(FIND(I$32,$K$53:$K$130)),"", ROW($A$53:$A$130)-ROW($K$53)+1), ROW()-ROW($A$33)+1)),"")</f>
        <v>Helmut Wulf</v>
      </c>
      <c r="J39" s="296" t="str">
        <f t="array" ref="J39">IFERROR(INDEX($A$53:$A$130, SMALL(IF(ISERROR(FIND(J$32,$K$53:$K$130)),"", ROW($A$53:$A$130)-ROW($K$53)+1), ROW()-ROW($A$33)+1)),"")</f>
        <v>Hakflem Skuttlespike</v>
      </c>
      <c r="K39" s="296" t="str">
        <f t="array" ref="K39">IFERROR(INDEX($A$53:$A$130, SMALL(IF(ISERROR(FIND(K$32,$K$53:$K$130)),"", ROW($A$53:$A$130)-ROW($K$53)+1), ROW()-ROW($A$33)+1)),"")</f>
        <v>Morg 'n' Thorg</v>
      </c>
      <c r="L39" s="296" t="str">
        <f t="array" ref="L39">IFERROR(INDEX($A$53:$A$130, SMALL(IF(ISERROR(FIND(L$32,$K$53:$K$130)),"", ROW($A$53:$A$130)-ROW($K$53)+1), ROW()-ROW($A$33)+1)),"")</f>
        <v>Helmut Wulf</v>
      </c>
      <c r="M39" s="296" t="str">
        <f t="array" ref="M39">IFERROR(INDEX($A$53:$A$130, SMALL(IF(ISERROR(FIND(M$32,$K$53:$K$130)),"", ROW($A$53:$A$130)-ROW($K$53)+1), ROW()-ROW($A$33)+1)),"")</f>
        <v/>
      </c>
      <c r="N39" s="296" t="str">
        <f t="array" ref="N39">IFERROR(INDEX($A$53:$A$130, SMALL(IF(ISERROR(FIND(N$32,$K$53:$K$130)),"", ROW($A$53:$A$130)-ROW($K$53)+1), ROW()-ROW($A$33)+1)),"")</f>
        <v/>
      </c>
      <c r="O39" s="296" t="str">
        <f t="array" ref="O39">IFERROR(INDEX($A$53:$A$130, SMALL(IF(ISERROR(FIND(O$32,$K$53:$K$130)),"", ROW($A$53:$A$130)-ROW($K$53)+1), ROW()-ROW($A$33)+1)),"")</f>
        <v/>
      </c>
      <c r="P39" s="296" t="str">
        <f t="array" ref="P39">IFERROR(INDEX($A$53:$A$130, SMALL(IF(ISERROR(FIND(P$32,$K$53:$K$130)),"", ROW($A$53:$A$130)-ROW($K$53)+1), ROW()-ROW($A$33)+1)),"")</f>
        <v/>
      </c>
      <c r="Q39" s="296" t="str">
        <f t="array" ref="Q39">IFERROR(INDEX($A$53:$A$130, SMALL(IF(ISERROR(FIND(Q$32,$K$53:$K$130)),"", ROW($A$53:$A$130)-ROW($K$53)+1), ROW()-ROW($A$33)+1)),"")</f>
        <v/>
      </c>
    </row>
    <row r="40" spans="1:17" x14ac:dyDescent="0.25">
      <c r="A40" s="296" t="str">
        <f t="array" ref="A40">IFERROR(INDEX($A$53:$A$130, SMALL(IF(ISERROR(FIND(A$32,$K$53:$K$130)),"", ROW($A$53:$A$130)-ROW($K$53)+1), ROW()-ROW($A$33)+1)),"")</f>
        <v/>
      </c>
      <c r="B40" s="296" t="str">
        <f t="array" ref="B40">IFERROR(INDEX($A$53:$A$130, SMALL(IF(ISERROR(FIND(B$32,$K$53:$K$130)),"", ROW($A$53:$A$130)-ROW($K$53)+1), ROW()-ROW($A$33)+1)),"")</f>
        <v>The Black Gobbo</v>
      </c>
      <c r="C40" s="296" t="str">
        <f t="array" ref="C40">IFERROR(INDEX($A$53:$A$130, SMALL(IF(ISERROR(FIND(C$32,$K$53:$K$130)),"", ROW($A$53:$A$130)-ROW($K$53)+1), ROW()-ROW($A$33)+1)),"")</f>
        <v>Swift Twins: Lucien Swift</v>
      </c>
      <c r="D40" s="296" t="str">
        <f t="array" ref="D40">IFERROR(INDEX($A$53:$A$130, SMALL(IF(ISERROR(FIND(D$32,$K$53:$K$130)),"", ROW($A$53:$A$130)-ROW($K$53)+1), ROW()-ROW($A$33)+1)),"")</f>
        <v>Grombrindal, the White Dwarf</v>
      </c>
      <c r="E40" s="296" t="str">
        <f t="array" ref="E40">IFERROR(INDEX($A$53:$A$130, SMALL(IF(ISERROR(FIND(E$32,$K$53:$K$130)),"", ROW($A$53:$A$130)-ROW($K$53)+1), ROW()-ROW($A$33)+1)),"")</f>
        <v/>
      </c>
      <c r="F40" s="296" t="str">
        <f t="array" ref="F40">IFERROR(INDEX($A$53:$A$130, SMALL(IF(ISERROR(FIND(F$32,$K$53:$K$130)),"", ROW($A$53:$A$130)-ROW($K$53)+1), ROW()-ROW($A$33)+1)),"")</f>
        <v>Morg 'n' Thorg</v>
      </c>
      <c r="G40" s="296" t="str">
        <f t="array" ref="G40">IFERROR(INDEX($A$53:$A$130, SMALL(IF(ISERROR(FIND(G$32,$K$53:$K$130)),"", ROW($A$53:$A$130)-ROW($K$53)+1), ROW()-ROW($A$33)+1)),"")</f>
        <v/>
      </c>
      <c r="H40" s="296" t="str">
        <f t="array" ref="H40">IFERROR(INDEX($A$53:$A$130, SMALL(IF(ISERROR(FIND(H$32,$K$53:$K$130)),"", ROW($A$53:$A$130)-ROW($K$53)+1), ROW()-ROW($A$33)+1)),"")</f>
        <v>Grim Ironjaw</v>
      </c>
      <c r="I40" s="296" t="str">
        <f t="array" ref="I40">IFERROR(INDEX($A$53:$A$130, SMALL(IF(ISERROR(FIND(I$32,$K$53:$K$130)),"", ROW($A$53:$A$130)-ROW($K$53)+1), ROW()-ROW($A$33)+1)),"")</f>
        <v>Skrull Halfheight</v>
      </c>
      <c r="J40" s="296" t="str">
        <f t="array" ref="J40">IFERROR(INDEX($A$53:$A$130, SMALL(IF(ISERROR(FIND(J$32,$K$53:$K$130)),"", ROW($A$53:$A$130)-ROW($K$53)+1), ROW()-ROW($A$33)+1)),"")</f>
        <v>Helmut Wulf</v>
      </c>
      <c r="K40" s="296" t="str">
        <f t="array" ref="K40">IFERROR(INDEX($A$53:$A$130, SMALL(IF(ISERROR(FIND(K$32,$K$53:$K$130)),"", ROW($A$53:$A$130)-ROW($K$53)+1), ROW()-ROW($A$33)+1)),"")</f>
        <v>Rumbelow Sheepskin</v>
      </c>
      <c r="L40" s="296" t="str">
        <f t="array" ref="L40">IFERROR(INDEX($A$53:$A$130, SMALL(IF(ISERROR(FIND(L$32,$K$53:$K$130)),"", ROW($A$53:$A$130)-ROW($K$53)+1), ROW()-ROW($A$33)+1)),"")</f>
        <v>Kreek Rustgouger</v>
      </c>
      <c r="M40" s="296" t="str">
        <f t="array" ref="M40">IFERROR(INDEX($A$53:$A$130, SMALL(IF(ISERROR(FIND(M$32,$K$53:$K$130)),"", ROW($A$53:$A$130)-ROW($K$53)+1), ROW()-ROW($A$33)+1)),"")</f>
        <v/>
      </c>
      <c r="N40" s="296" t="str">
        <f t="array" ref="N40">IFERROR(INDEX($A$53:$A$130, SMALL(IF(ISERROR(FIND(N$32,$K$53:$K$130)),"", ROW($A$53:$A$130)-ROW($K$53)+1), ROW()-ROW($A$33)+1)),"")</f>
        <v/>
      </c>
      <c r="O40" s="296" t="str">
        <f t="array" ref="O40">IFERROR(INDEX($A$53:$A$130, SMALL(IF(ISERROR(FIND(O$32,$K$53:$K$130)),"", ROW($A$53:$A$130)-ROW($K$53)+1), ROW()-ROW($A$33)+1)),"")</f>
        <v/>
      </c>
      <c r="P40" s="296" t="str">
        <f t="array" ref="P40">IFERROR(INDEX($A$53:$A$130, SMALL(IF(ISERROR(FIND(P$32,$K$53:$K$130)),"", ROW($A$53:$A$130)-ROW($K$53)+1), ROW()-ROW($A$33)+1)),"")</f>
        <v/>
      </c>
      <c r="Q40" s="296" t="str">
        <f t="array" ref="Q40">IFERROR(INDEX($A$53:$A$130, SMALL(IF(ISERROR(FIND(Q$32,$K$53:$K$130)),"", ROW($A$53:$A$130)-ROW($K$53)+1), ROW()-ROW($A$33)+1)),"")</f>
        <v/>
      </c>
    </row>
    <row r="41" spans="1:17" x14ac:dyDescent="0.25">
      <c r="A41" s="296" t="str">
        <f t="array" ref="A41">IFERROR(INDEX($A$53:$A$130, SMALL(IF(ISERROR(FIND(A$32,$K$53:$K$130)),"", ROW($A$53:$A$130)-ROW($K$53)+1), ROW()-ROW($A$33)+1)),"")</f>
        <v/>
      </c>
      <c r="B41" s="296" t="str">
        <f t="array" ref="B41">IFERROR(INDEX($A$53:$A$130, SMALL(IF(ISERROR(FIND(B$32,$K$53:$K$130)),"", ROW($A$53:$A$130)-ROW($K$53)+1), ROW()-ROW($A$33)+1)),"")</f>
        <v>Varag Ghoul-Chewer</v>
      </c>
      <c r="C41" s="296" t="str">
        <f t="array" ref="C41">IFERROR(INDEX($A$53:$A$130, SMALL(IF(ISERROR(FIND(C$32,$K$53:$K$130)),"", ROW($A$53:$A$130)-ROW($K$53)+1), ROW()-ROW($A$33)+1)),"")</f>
        <v>Swift Twins: Valen Swift</v>
      </c>
      <c r="D41" s="296" t="str">
        <f t="array" ref="D41">IFERROR(INDEX($A$53:$A$130, SMALL(IF(ISERROR(FIND(D$32,$K$53:$K$130)),"", ROW($A$53:$A$130)-ROW($K$53)+1), ROW()-ROW($A$33)+1)),"")</f>
        <v>Helmut Wulf</v>
      </c>
      <c r="E41" s="296" t="str">
        <f t="array" ref="E41">IFERROR(INDEX($A$53:$A$130, SMALL(IF(ISERROR(FIND(E$32,$K$53:$K$130)),"", ROW($A$53:$A$130)-ROW($K$53)+1), ROW()-ROW($A$33)+1)),"")</f>
        <v/>
      </c>
      <c r="F41" s="296" t="str">
        <f t="array" ref="F41">IFERROR(INDEX($A$53:$A$130, SMALL(IF(ISERROR(FIND(F$32,$K$53:$K$130)),"", ROW($A$53:$A$130)-ROW($K$53)+1), ROW()-ROW($A$33)+1)),"")</f>
        <v>Zolcath the Zoat</v>
      </c>
      <c r="G41" s="296" t="str">
        <f t="array" ref="G41">IFERROR(INDEX($A$53:$A$130, SMALL(IF(ISERROR(FIND(G$32,$K$53:$K$130)),"", ROW($A$53:$A$130)-ROW($K$53)+1), ROW()-ROW($A$33)+1)),"")</f>
        <v/>
      </c>
      <c r="H41" s="296" t="str">
        <f t="array" ref="H41">IFERROR(INDEX($A$53:$A$130, SMALL(IF(ISERROR(FIND(H$32,$K$53:$K$130)),"", ROW($A$53:$A$130)-ROW($K$53)+1), ROW()-ROW($A$33)+1)),"")</f>
        <v>Grombrindal, the White Dwarf</v>
      </c>
      <c r="I41" s="296" t="str">
        <f t="array" ref="I41">IFERROR(INDEX($A$53:$A$130, SMALL(IF(ISERROR(FIND(I$32,$K$53:$K$130)),"", ROW($A$53:$A$130)-ROW($K$53)+1), ROW()-ROW($A$33)+1)),"")</f>
        <v>Wilhelm Chaney</v>
      </c>
      <c r="J41" s="296" t="str">
        <f t="array" ref="J41">IFERROR(INDEX($A$53:$A$130, SMALL(IF(ISERROR(FIND(J$32,$K$53:$K$130)),"", ROW($A$53:$A$130)-ROW($K$53)+1), ROW()-ROW($A$33)+1)),"")</f>
        <v>Kreek Rustgouger</v>
      </c>
      <c r="K41" s="296" t="str">
        <f t="array" ref="K41">IFERROR(INDEX($A$53:$A$130, SMALL(IF(ISERROR(FIND(K$32,$K$53:$K$130)),"", ROW($A$53:$A$130)-ROW($K$53)+1), ROW()-ROW($A$33)+1)),"")</f>
        <v>Skrull Halfheight</v>
      </c>
      <c r="L41" s="296" t="str">
        <f t="array" ref="L41">IFERROR(INDEX($A$53:$A$130, SMALL(IF(ISERROR(FIND(L$32,$K$53:$K$130)),"", ROW($A$53:$A$130)-ROW($K$53)+1), ROW()-ROW($A$33)+1)),"")</f>
        <v>Lord Borak the Despoiler</v>
      </c>
      <c r="M41" s="296" t="str">
        <f t="array" ref="M41">IFERROR(INDEX($A$53:$A$130, SMALL(IF(ISERROR(FIND(M$32,$K$53:$K$130)),"", ROW($A$53:$A$130)-ROW($K$53)+1), ROW()-ROW($A$33)+1)),"")</f>
        <v/>
      </c>
      <c r="N41" s="296" t="str">
        <f t="array" ref="N41">IFERROR(INDEX($A$53:$A$130, SMALL(IF(ISERROR(FIND(N$32,$K$53:$K$130)),"", ROW($A$53:$A$130)-ROW($K$53)+1), ROW()-ROW($A$33)+1)),"")</f>
        <v/>
      </c>
      <c r="O41" s="296" t="str">
        <f t="array" ref="O41">IFERROR(INDEX($A$53:$A$130, SMALL(IF(ISERROR(FIND(O$32,$K$53:$K$130)),"", ROW($A$53:$A$130)-ROW($K$53)+1), ROW()-ROW($A$33)+1)),"")</f>
        <v/>
      </c>
      <c r="P41" s="296" t="str">
        <f t="array" ref="P41">IFERROR(INDEX($A$53:$A$130, SMALL(IF(ISERROR(FIND(P$32,$K$53:$K$130)),"", ROW($A$53:$A$130)-ROW($K$53)+1), ROW()-ROW($A$33)+1)),"")</f>
        <v/>
      </c>
      <c r="Q41" s="296" t="str">
        <f t="array" ref="Q41">IFERROR(INDEX($A$53:$A$130, SMALL(IF(ISERROR(FIND(Q$32,$K$53:$K$130)),"", ROW($A$53:$A$130)-ROW($K$53)+1), ROW()-ROW($A$33)+1)),"")</f>
        <v/>
      </c>
    </row>
    <row r="42" spans="1:17" x14ac:dyDescent="0.25">
      <c r="A42" s="296" t="str">
        <f t="array" ref="A42">IFERROR(INDEX($A$53:$A$130, SMALL(IF(ISERROR(FIND(A$32,$K$53:$K$130)),"", ROW($A$53:$A$130)-ROW($K$53)+1), ROW()-ROW($A$33)+1)),"")</f>
        <v/>
      </c>
      <c r="B42" s="296" t="str">
        <f t="array" ref="B42">IFERROR(INDEX($A$53:$A$130, SMALL(IF(ISERROR(FIND(B$32,$K$53:$K$130)),"", ROW($A$53:$A$130)-ROW($K$53)+1), ROW()-ROW($A$33)+1)),"")</f>
        <v/>
      </c>
      <c r="C42" s="296" t="str">
        <f t="array" ref="C42">IFERROR(INDEX($A$53:$A$130, SMALL(IF(ISERROR(FIND(C$32,$K$53:$K$130)),"", ROW($A$53:$A$130)-ROW($K$53)+1), ROW()-ROW($A$33)+1)),"")</f>
        <v>Willow Rosebark</v>
      </c>
      <c r="D42" s="296" t="str">
        <f t="array" ref="D42">IFERROR(INDEX($A$53:$A$130, SMALL(IF(ISERROR(FIND(D$32,$K$53:$K$130)),"", ROW($A$53:$A$130)-ROW($K$53)+1), ROW()-ROW($A$33)+1)),"")</f>
        <v>Karla von Kill</v>
      </c>
      <c r="E42" s="296" t="str">
        <f t="array" ref="E42">IFERROR(INDEX($A$53:$A$130, SMALL(IF(ISERROR(FIND(E$32,$K$53:$K$130)),"", ROW($A$53:$A$130)-ROW($K$53)+1), ROW()-ROW($A$33)+1)),"")</f>
        <v/>
      </c>
      <c r="F42" s="296" t="str">
        <f t="array" ref="F42">IFERROR(INDEX($A$53:$A$130, SMALL(IF(ISERROR(FIND(F$32,$K$53:$K$130)),"", ROW($A$53:$A$130)-ROW($K$53)+1), ROW()-ROW($A$33)+1)),"")</f>
        <v/>
      </c>
      <c r="G42" s="296" t="str">
        <f t="array" ref="G42">IFERROR(INDEX($A$53:$A$130, SMALL(IF(ISERROR(FIND(G$32,$K$53:$K$130)),"", ROW($A$53:$A$130)-ROW($K$53)+1), ROW()-ROW($A$33)+1)),"")</f>
        <v/>
      </c>
      <c r="H42" s="296" t="str">
        <f t="array" ref="H42">IFERROR(INDEX($A$53:$A$130, SMALL(IF(ISERROR(FIND(H$32,$K$53:$K$130)),"", ROW($A$53:$A$130)-ROW($K$53)+1), ROW()-ROW($A$33)+1)),"")</f>
        <v>Helmut Wulf</v>
      </c>
      <c r="I42" s="296" t="str">
        <f t="array" ref="I42">IFERROR(INDEX($A$53:$A$130, SMALL(IF(ISERROR(FIND(I$32,$K$53:$K$130)),"", ROW($A$53:$A$130)-ROW($K$53)+1), ROW()-ROW($A$33)+1)),"")</f>
        <v/>
      </c>
      <c r="J42" s="296" t="str">
        <f t="array" ref="J42">IFERROR(INDEX($A$53:$A$130, SMALL(IF(ISERROR(FIND(J$32,$K$53:$K$130)),"", ROW($A$53:$A$130)-ROW($K$53)+1), ROW()-ROW($A$33)+1)),"")</f>
        <v>Morg 'n' Thorg</v>
      </c>
      <c r="K42" s="296" t="str">
        <f t="array" ref="K42">IFERROR(INDEX($A$53:$A$130, SMALL(IF(ISERROR(FIND(K$32,$K$53:$K$130)),"", ROW($A$53:$A$130)-ROW($K$53)+1), ROW()-ROW($A$33)+1)),"")</f>
        <v/>
      </c>
      <c r="L42" s="296" t="str">
        <f t="array" ref="L42">IFERROR(INDEX($A$53:$A$130, SMALL(IF(ISERROR(FIND(L$32,$K$53:$K$130)),"", ROW($A$53:$A$130)-ROW($K$53)+1), ROW()-ROW($A$33)+1)),"")</f>
        <v>Morg 'n' Thorg</v>
      </c>
      <c r="M42" s="296" t="str">
        <f t="array" ref="M42">IFERROR(INDEX($A$53:$A$130, SMALL(IF(ISERROR(FIND(M$32,$K$53:$K$130)),"", ROW($A$53:$A$130)-ROW($K$53)+1), ROW()-ROW($A$33)+1)),"")</f>
        <v/>
      </c>
      <c r="N42" s="296" t="str">
        <f t="array" ref="N42">IFERROR(INDEX($A$53:$A$130, SMALL(IF(ISERROR(FIND(N$32,$K$53:$K$130)),"", ROW($A$53:$A$130)-ROW($K$53)+1), ROW()-ROW($A$33)+1)),"")</f>
        <v/>
      </c>
      <c r="O42" s="296" t="str">
        <f t="array" ref="O42">IFERROR(INDEX($A$53:$A$130, SMALL(IF(ISERROR(FIND(O$32,$K$53:$K$130)),"", ROW($A$53:$A$130)-ROW($K$53)+1), ROW()-ROW($A$33)+1)),"")</f>
        <v/>
      </c>
      <c r="P42" s="296" t="str">
        <f t="array" ref="P42">IFERROR(INDEX($A$53:$A$130, SMALL(IF(ISERROR(FIND(P$32,$K$53:$K$130)),"", ROW($A$53:$A$130)-ROW($K$53)+1), ROW()-ROW($A$33)+1)),"")</f>
        <v/>
      </c>
      <c r="Q42" s="296" t="str">
        <f t="array" ref="Q42">IFERROR(INDEX($A$53:$A$130, SMALL(IF(ISERROR(FIND(Q$32,$K$53:$K$130)),"", ROW($A$53:$A$130)-ROW($K$53)+1), ROW()-ROW($A$33)+1)),"")</f>
        <v/>
      </c>
    </row>
    <row r="43" spans="1:17" x14ac:dyDescent="0.25">
      <c r="A43" s="296" t="str">
        <f t="array" ref="A43">IFERROR(INDEX($A$53:$A$130, SMALL(IF(ISERROR(FIND(A$32,$K$53:$K$130)),"", ROW($A$53:$A$130)-ROW($K$53)+1), ROW()-ROW($A$33)+1)),"")</f>
        <v/>
      </c>
      <c r="B43" s="296" t="str">
        <f t="array" ref="B43">IFERROR(INDEX($A$53:$A$130, SMALL(IF(ISERROR(FIND(B$32,$K$53:$K$130)),"", ROW($A$53:$A$130)-ROW($K$53)+1), ROW()-ROW($A$33)+1)),"")</f>
        <v/>
      </c>
      <c r="C43" s="296" t="str">
        <f t="array" ref="C43">IFERROR(INDEX($A$53:$A$130, SMALL(IF(ISERROR(FIND(C$32,$K$53:$K$130)),"", ROW($A$53:$A$130)-ROW($K$53)+1), ROW()-ROW($A$33)+1)),"")</f>
        <v>Zolcath the Zoat</v>
      </c>
      <c r="D43" s="296" t="str">
        <f t="array" ref="D43">IFERROR(INDEX($A$53:$A$130, SMALL(IF(ISERROR(FIND(D$32,$K$53:$K$130)),"", ROW($A$53:$A$130)-ROW($K$53)+1), ROW()-ROW($A$33)+1)),"")</f>
        <v>Mighty Zug</v>
      </c>
      <c r="E43" s="296" t="str">
        <f t="array" ref="E43">IFERROR(INDEX($A$53:$A$130, SMALL(IF(ISERROR(FIND(E$32,$K$53:$K$130)),"", ROW($A$53:$A$130)-ROW($K$53)+1), ROW()-ROW($A$33)+1)),"")</f>
        <v/>
      </c>
      <c r="F43" s="296" t="str">
        <f t="array" ref="F43">IFERROR(INDEX($A$53:$A$130, SMALL(IF(ISERROR(FIND(F$32,$K$53:$K$130)),"", ROW($A$53:$A$130)-ROW($K$53)+1), ROW()-ROW($A$33)+1)),"")</f>
        <v/>
      </c>
      <c r="G43" s="296" t="str">
        <f t="array" ref="G43">IFERROR(INDEX($A$53:$A$130, SMALL(IF(ISERROR(FIND(G$32,$K$53:$K$130)),"", ROW($A$53:$A$130)-ROW($K$53)+1), ROW()-ROW($A$33)+1)),"")</f>
        <v/>
      </c>
      <c r="H43" s="296" t="str">
        <f t="array" ref="H43">IFERROR(INDEX($A$53:$A$130, SMALL(IF(ISERROR(FIND(H$32,$K$53:$K$130)),"", ROW($A$53:$A$130)-ROW($K$53)+1), ROW()-ROW($A$33)+1)),"")</f>
        <v>Ivar Eriksson</v>
      </c>
      <c r="I43" s="296" t="str">
        <f t="array" ref="I43">IFERROR(INDEX($A$53:$A$130, SMALL(IF(ISERROR(FIND(I$32,$K$53:$K$130)),"", ROW($A$53:$A$130)-ROW($K$53)+1), ROW()-ROW($A$33)+1)),"")</f>
        <v/>
      </c>
      <c r="J43" s="296" t="str">
        <f t="array" ref="J43">IFERROR(INDEX($A$53:$A$130, SMALL(IF(ISERROR(FIND(J$32,$K$53:$K$130)),"", ROW($A$53:$A$130)-ROW($K$53)+1), ROW()-ROW($A$33)+1)),"")</f>
        <v>The Black Gobbo</v>
      </c>
      <c r="K43" s="296" t="str">
        <f t="array" ref="K43">IFERROR(INDEX($A$53:$A$130, SMALL(IF(ISERROR(FIND(K$32,$K$53:$K$130)),"", ROW($A$53:$A$130)-ROW($K$53)+1), ROW()-ROW($A$33)+1)),"")</f>
        <v/>
      </c>
      <c r="L43" s="296" t="str">
        <f t="array" ref="L43">IFERROR(INDEX($A$53:$A$130, SMALL(IF(ISERROR(FIND(L$32,$K$53:$K$130)),"", ROW($A$53:$A$130)-ROW($K$53)+1), ROW()-ROW($A$33)+1)),"")</f>
        <v/>
      </c>
      <c r="M43" s="296" t="str">
        <f t="array" ref="M43">IFERROR(INDEX($A$53:$A$130, SMALL(IF(ISERROR(FIND(M$32,$K$53:$K$130)),"", ROW($A$53:$A$130)-ROW($K$53)+1), ROW()-ROW($A$33)+1)),"")</f>
        <v/>
      </c>
      <c r="N43" s="296" t="str">
        <f t="array" ref="N43">IFERROR(INDEX($A$53:$A$130, SMALL(IF(ISERROR(FIND(N$32,$K$53:$K$130)),"", ROW($A$53:$A$130)-ROW($K$53)+1), ROW()-ROW($A$33)+1)),"")</f>
        <v/>
      </c>
      <c r="O43" s="296" t="str">
        <f t="array" ref="O43">IFERROR(INDEX($A$53:$A$130, SMALL(IF(ISERROR(FIND(O$32,$K$53:$K$130)),"", ROW($A$53:$A$130)-ROW($K$53)+1), ROW()-ROW($A$33)+1)),"")</f>
        <v/>
      </c>
      <c r="P43" s="296" t="str">
        <f t="array" ref="P43">IFERROR(INDEX($A$53:$A$130, SMALL(IF(ISERROR(FIND(P$32,$K$53:$K$130)),"", ROW($A$53:$A$130)-ROW($K$53)+1), ROW()-ROW($A$33)+1)),"")</f>
        <v/>
      </c>
      <c r="Q43" s="296" t="str">
        <f t="array" ref="Q43">IFERROR(INDEX($A$53:$A$130, SMALL(IF(ISERROR(FIND(Q$32,$K$53:$K$130)),"", ROW($A$53:$A$130)-ROW($K$53)+1), ROW()-ROW($A$33)+1)),"")</f>
        <v/>
      </c>
    </row>
    <row r="44" spans="1:17" x14ac:dyDescent="0.25">
      <c r="A44" s="296" t="str">
        <f t="array" ref="A44">IFERROR(INDEX($A$53:$A$130, SMALL(IF(ISERROR(FIND(A$32,$K$53:$K$130)),"", ROW($A$53:$A$130)-ROW($K$53)+1), ROW()-ROW($A$33)+1)),"")</f>
        <v/>
      </c>
      <c r="B44" s="296" t="str">
        <f t="array" ref="B44">IFERROR(INDEX($A$53:$A$130, SMALL(IF(ISERROR(FIND(B$32,$K$53:$K$130)),"", ROW($A$53:$A$130)-ROW($K$53)+1), ROW()-ROW($A$33)+1)),"")</f>
        <v/>
      </c>
      <c r="C44" s="296" t="str">
        <f t="array" ref="C44">IFERROR(INDEX($A$53:$A$130, SMALL(IF(ISERROR(FIND(C$32,$K$53:$K$130)),"", ROW($A$53:$A$130)-ROW($K$53)+1), ROW()-ROW($A$33)+1)),"")</f>
        <v/>
      </c>
      <c r="D44" s="296" t="str">
        <f t="array" ref="D44">IFERROR(INDEX($A$53:$A$130, SMALL(IF(ISERROR(FIND(D$32,$K$53:$K$130)),"", ROW($A$53:$A$130)-ROW($K$53)+1), ROW()-ROW($A$33)+1)),"")</f>
        <v>Morg 'n' Thorg</v>
      </c>
      <c r="E44" s="296" t="str">
        <f t="array" ref="E44">IFERROR(INDEX($A$53:$A$130, SMALL(IF(ISERROR(FIND(E$32,$K$53:$K$130)),"", ROW($A$53:$A$130)-ROW($K$53)+1), ROW()-ROW($A$33)+1)),"")</f>
        <v/>
      </c>
      <c r="F44" s="296" t="str">
        <f t="array" ref="F44">IFERROR(INDEX($A$53:$A$130, SMALL(IF(ISERROR(FIND(F$32,$K$53:$K$130)),"", ROW($A$53:$A$130)-ROW($K$53)+1), ROW()-ROW($A$33)+1)),"")</f>
        <v/>
      </c>
      <c r="G44" s="296" t="str">
        <f t="array" ref="G44">IFERROR(INDEX($A$53:$A$130, SMALL(IF(ISERROR(FIND(G$32,$K$53:$K$130)),"", ROW($A$53:$A$130)-ROW($K$53)+1), ROW()-ROW($A$33)+1)),"")</f>
        <v/>
      </c>
      <c r="H44" s="296" t="str">
        <f t="array" ref="H44">IFERROR(INDEX($A$53:$A$130, SMALL(IF(ISERROR(FIND(H$32,$K$53:$K$130)),"", ROW($A$53:$A$130)-ROW($K$53)+1), ROW()-ROW($A$33)+1)),"")</f>
        <v>Karla von Kill</v>
      </c>
      <c r="I44" s="296" t="str">
        <f t="array" ref="I44">IFERROR(INDEX($A$53:$A$130, SMALL(IF(ISERROR(FIND(I$32,$K$53:$K$130)),"", ROW($A$53:$A$130)-ROW($K$53)+1), ROW()-ROW($A$33)+1)),"")</f>
        <v/>
      </c>
      <c r="J44" s="296" t="str">
        <f t="array" ref="J44">IFERROR(INDEX($A$53:$A$130, SMALL(IF(ISERROR(FIND(J$32,$K$53:$K$130)),"", ROW($A$53:$A$130)-ROW($K$53)+1), ROW()-ROW($A$33)+1)),"")</f>
        <v>Varag Ghoul-Chewer</v>
      </c>
      <c r="K44" s="296" t="str">
        <f t="array" ref="K44">IFERROR(INDEX($A$53:$A$130, SMALL(IF(ISERROR(FIND(K$32,$K$53:$K$130)),"", ROW($A$53:$A$130)-ROW($K$53)+1), ROW()-ROW($A$33)+1)),"")</f>
        <v/>
      </c>
      <c r="L44" s="296" t="str">
        <f t="array" ref="L44">IFERROR(INDEX($A$53:$A$130, SMALL(IF(ISERROR(FIND(L$32,$K$53:$K$130)),"", ROW($A$53:$A$130)-ROW($K$53)+1), ROW()-ROW($A$33)+1)),"")</f>
        <v/>
      </c>
      <c r="M44" s="296" t="str">
        <f t="array" ref="M44">IFERROR(INDEX($A$53:$A$130, SMALL(IF(ISERROR(FIND(M$32,$K$53:$K$130)),"", ROW($A$53:$A$130)-ROW($K$53)+1), ROW()-ROW($A$33)+1)),"")</f>
        <v/>
      </c>
      <c r="N44" s="296" t="str">
        <f t="array" ref="N44">IFERROR(INDEX($A$53:$A$130, SMALL(IF(ISERROR(FIND(N$32,$K$53:$K$130)),"", ROW($A$53:$A$130)-ROW($K$53)+1), ROW()-ROW($A$33)+1)),"")</f>
        <v/>
      </c>
      <c r="O44" s="296" t="str">
        <f t="array" ref="O44">IFERROR(INDEX($A$53:$A$130, SMALL(IF(ISERROR(FIND(O$32,$K$53:$K$130)),"", ROW($A$53:$A$130)-ROW($K$53)+1), ROW()-ROW($A$33)+1)),"")</f>
        <v/>
      </c>
      <c r="P44" s="296" t="str">
        <f t="array" ref="P44">IFERROR(INDEX($A$53:$A$130, SMALL(IF(ISERROR(FIND(P$32,$K$53:$K$130)),"", ROW($A$53:$A$130)-ROW($K$53)+1), ROW()-ROW($A$33)+1)),"")</f>
        <v/>
      </c>
      <c r="Q44" s="296" t="str">
        <f t="array" ref="Q44">IFERROR(INDEX($A$53:$A$130, SMALL(IF(ISERROR(FIND(Q$32,$K$53:$K$130)),"", ROW($A$53:$A$130)-ROW($K$53)+1), ROW()-ROW($A$33)+1)),"")</f>
        <v/>
      </c>
    </row>
    <row r="45" spans="1:17" x14ac:dyDescent="0.25">
      <c r="A45" s="296" t="str">
        <f t="array" ref="A45">IFERROR(INDEX($A$53:$A$130, SMALL(IF(ISERROR(FIND(A$32,$K$53:$K$130)),"", ROW($A$53:$A$130)-ROW($K$53)+1), ROW()-ROW($A$33)+1)),"")</f>
        <v/>
      </c>
      <c r="B45" s="296" t="str">
        <f t="array" ref="B45">IFERROR(INDEX($A$53:$A$130, SMALL(IF(ISERROR(FIND(B$32,$K$53:$K$130)),"", ROW($A$53:$A$130)-ROW($K$53)+1), ROW()-ROW($A$33)+1)),"")</f>
        <v/>
      </c>
      <c r="C45" s="296" t="str">
        <f t="array" ref="C45">IFERROR(INDEX($A$53:$A$130, SMALL(IF(ISERROR(FIND(C$32,$K$53:$K$130)),"", ROW($A$53:$A$130)-ROW($K$53)+1), ROW()-ROW($A$33)+1)),"")</f>
        <v/>
      </c>
      <c r="D45" s="296" t="str">
        <f t="array" ref="D45">IFERROR(INDEX($A$53:$A$130, SMALL(IF(ISERROR(FIND(D$32,$K$53:$K$130)),"", ROW($A$53:$A$130)-ROW($K$53)+1), ROW()-ROW($A$33)+1)),"")</f>
        <v>Rumbelow Sheepskin</v>
      </c>
      <c r="E45" s="296" t="str">
        <f t="array" ref="E45">IFERROR(INDEX($A$53:$A$130, SMALL(IF(ISERROR(FIND(E$32,$K$53:$K$130)),"", ROW($A$53:$A$130)-ROW($K$53)+1), ROW()-ROW($A$33)+1)),"")</f>
        <v/>
      </c>
      <c r="F45" s="296" t="str">
        <f t="array" ref="F45">IFERROR(INDEX($A$53:$A$130, SMALL(IF(ISERROR(FIND(F$32,$K$53:$K$130)),"", ROW($A$53:$A$130)-ROW($K$53)+1), ROW()-ROW($A$33)+1)),"")</f>
        <v/>
      </c>
      <c r="G45" s="296" t="str">
        <f t="array" ref="G45">IFERROR(INDEX($A$53:$A$130, SMALL(IF(ISERROR(FIND(G$32,$K$53:$K$130)),"", ROW($A$53:$A$130)-ROW($K$53)+1), ROW()-ROW($A$33)+1)),"")</f>
        <v/>
      </c>
      <c r="H45" s="296" t="str">
        <f t="array" ref="H45">IFERROR(INDEX($A$53:$A$130, SMALL(IF(ISERROR(FIND(H$32,$K$53:$K$130)),"", ROW($A$53:$A$130)-ROW($K$53)+1), ROW()-ROW($A$33)+1)),"")</f>
        <v>Mighty Zug</v>
      </c>
      <c r="I45" s="296" t="str">
        <f t="array" ref="I45">IFERROR(INDEX($A$53:$A$130, SMALL(IF(ISERROR(FIND(I$32,$K$53:$K$130)),"", ROW($A$53:$A$130)-ROW($K$53)+1), ROW()-ROW($A$33)+1)),"")</f>
        <v/>
      </c>
      <c r="J45" s="296" t="str">
        <f t="array" ref="J45">IFERROR(INDEX($A$53:$A$130, SMALL(IF(ISERROR(FIND(J$32,$K$53:$K$130)),"", ROW($A$53:$A$130)-ROW($K$53)+1), ROW()-ROW($A$33)+1)),"")</f>
        <v/>
      </c>
      <c r="K45" s="296" t="str">
        <f t="array" ref="K45">IFERROR(INDEX($A$53:$A$130, SMALL(IF(ISERROR(FIND(K$32,$K$53:$K$130)),"", ROW($A$53:$A$130)-ROW($K$53)+1), ROW()-ROW($A$33)+1)),"")</f>
        <v/>
      </c>
      <c r="L45" s="296" t="str">
        <f t="array" ref="L45">IFERROR(INDEX($A$53:$A$130, SMALL(IF(ISERROR(FIND(L$32,$K$53:$K$130)),"", ROW($A$53:$A$130)-ROW($K$53)+1), ROW()-ROW($A$33)+1)),"")</f>
        <v/>
      </c>
      <c r="M45" s="296" t="str">
        <f t="array" ref="M45">IFERROR(INDEX($A$53:$A$130, SMALL(IF(ISERROR(FIND(M$32,$K$53:$K$130)),"", ROW($A$53:$A$130)-ROW($K$53)+1), ROW()-ROW($A$33)+1)),"")</f>
        <v/>
      </c>
      <c r="N45" s="296" t="str">
        <f t="array" ref="N45">IFERROR(INDEX($A$53:$A$130, SMALL(IF(ISERROR(FIND(N$32,$K$53:$K$130)),"", ROW($A$53:$A$130)-ROW($K$53)+1), ROW()-ROW($A$33)+1)),"")</f>
        <v/>
      </c>
      <c r="O45" s="296" t="str">
        <f t="array" ref="O45">IFERROR(INDEX($A$53:$A$130, SMALL(IF(ISERROR(FIND(O$32,$K$53:$K$130)),"", ROW($A$53:$A$130)-ROW($K$53)+1), ROW()-ROW($A$33)+1)),"")</f>
        <v/>
      </c>
      <c r="P45" s="296" t="str">
        <f t="array" ref="P45">IFERROR(INDEX($A$53:$A$130, SMALL(IF(ISERROR(FIND(P$32,$K$53:$K$130)),"", ROW($A$53:$A$130)-ROW($K$53)+1), ROW()-ROW($A$33)+1)),"")</f>
        <v/>
      </c>
      <c r="Q45" s="296" t="str">
        <f t="array" ref="Q45">IFERROR(INDEX($A$53:$A$130, SMALL(IF(ISERROR(FIND(Q$32,$K$53:$K$130)),"", ROW($A$53:$A$130)-ROW($K$53)+1), ROW()-ROW($A$33)+1)),"")</f>
        <v/>
      </c>
    </row>
    <row r="46" spans="1:17" x14ac:dyDescent="0.25">
      <c r="A46" s="296" t="str">
        <f t="array" ref="A46">IFERROR(INDEX($A$53:$A$130, SMALL(IF(ISERROR(FIND(A$32,$K$53:$K$130)),"", ROW($A$53:$A$130)-ROW($K$53)+1), ROW()-ROW($A$33)+1)),"")</f>
        <v/>
      </c>
      <c r="B46" s="296" t="str">
        <f t="array" ref="B46">IFERROR(INDEX($A$53:$A$130, SMALL(IF(ISERROR(FIND(B$32,$K$53:$K$130)),"", ROW($A$53:$A$130)-ROW($K$53)+1), ROW()-ROW($A$33)+1)),"")</f>
        <v/>
      </c>
      <c r="C46" s="296" t="str">
        <f t="array" ref="C46">IFERROR(INDEX($A$53:$A$130, SMALL(IF(ISERROR(FIND(C$32,$K$53:$K$130)),"", ROW($A$53:$A$130)-ROW($K$53)+1), ROW()-ROW($A$33)+1)),"")</f>
        <v/>
      </c>
      <c r="D46" s="296" t="str">
        <f t="array" ref="D46">IFERROR(INDEX($A$53:$A$130, SMALL(IF(ISERROR(FIND(D$32,$K$53:$K$130)),"", ROW($A$53:$A$130)-ROW($K$53)+1), ROW()-ROW($A$33)+1)),"")</f>
        <v/>
      </c>
      <c r="E46" s="296" t="str">
        <f t="array" ref="E46">IFERROR(INDEX($A$53:$A$130, SMALL(IF(ISERROR(FIND(E$32,$K$53:$K$130)),"", ROW($A$53:$A$130)-ROW($K$53)+1), ROW()-ROW($A$33)+1)),"")</f>
        <v/>
      </c>
      <c r="F46" s="296" t="str">
        <f t="array" ref="F46">IFERROR(INDEX($A$53:$A$130, SMALL(IF(ISERROR(FIND(F$32,$K$53:$K$130)),"", ROW($A$53:$A$130)-ROW($K$53)+1), ROW()-ROW($A$33)+1)),"")</f>
        <v/>
      </c>
      <c r="G46" s="296" t="str">
        <f t="array" ref="G46">IFERROR(INDEX($A$53:$A$130, SMALL(IF(ISERROR(FIND(G$32,$K$53:$K$130)),"", ROW($A$53:$A$130)-ROW($K$53)+1), ROW()-ROW($A$33)+1)),"")</f>
        <v/>
      </c>
      <c r="H46" s="296" t="str">
        <f t="array" ref="H46">IFERROR(INDEX($A$53:$A$130, SMALL(IF(ISERROR(FIND(H$32,$K$53:$K$130)),"", ROW($A$53:$A$130)-ROW($K$53)+1), ROW()-ROW($A$33)+1)),"")</f>
        <v>Morg 'n' Thorg</v>
      </c>
      <c r="I46" s="296" t="str">
        <f t="array" ref="I46">IFERROR(INDEX($A$53:$A$130, SMALL(IF(ISERROR(FIND(I$32,$K$53:$K$130)),"", ROW($A$53:$A$130)-ROW($K$53)+1), ROW()-ROW($A$33)+1)),"")</f>
        <v/>
      </c>
      <c r="J46" s="296" t="str">
        <f t="array" ref="J46">IFERROR(INDEX($A$53:$A$130, SMALL(IF(ISERROR(FIND(J$32,$K$53:$K$130)),"", ROW($A$53:$A$130)-ROW($K$53)+1), ROW()-ROW($A$33)+1)),"")</f>
        <v/>
      </c>
      <c r="K46" s="296" t="str">
        <f t="array" ref="K46">IFERROR(INDEX($A$53:$A$130, SMALL(IF(ISERROR(FIND(K$32,$K$53:$K$130)),"", ROW($A$53:$A$130)-ROW($K$53)+1), ROW()-ROW($A$33)+1)),"")</f>
        <v/>
      </c>
      <c r="L46" s="296" t="str">
        <f t="array" ref="L46">IFERROR(INDEX($A$53:$A$130, SMALL(IF(ISERROR(FIND(L$32,$K$53:$K$130)),"", ROW($A$53:$A$130)-ROW($K$53)+1), ROW()-ROW($A$33)+1)),"")</f>
        <v/>
      </c>
      <c r="M46" s="296" t="str">
        <f t="array" ref="M46">IFERROR(INDEX($A$53:$A$130, SMALL(IF(ISERROR(FIND(M$32,$K$53:$K$130)),"", ROW($A$53:$A$130)-ROW($K$53)+1), ROW()-ROW($A$33)+1)),"")</f>
        <v/>
      </c>
      <c r="N46" s="296" t="str">
        <f t="array" ref="N46">IFERROR(INDEX($A$53:$A$130, SMALL(IF(ISERROR(FIND(N$32,$K$53:$K$130)),"", ROW($A$53:$A$130)-ROW($K$53)+1), ROW()-ROW($A$33)+1)),"")</f>
        <v/>
      </c>
      <c r="O46" s="296" t="str">
        <f t="array" ref="O46">IFERROR(INDEX($A$53:$A$130, SMALL(IF(ISERROR(FIND(O$32,$K$53:$K$130)),"", ROW($A$53:$A$130)-ROW($K$53)+1), ROW()-ROW($A$33)+1)),"")</f>
        <v/>
      </c>
      <c r="P46" s="296" t="str">
        <f t="array" ref="P46">IFERROR(INDEX($A$53:$A$130, SMALL(IF(ISERROR(FIND(P$32,$K$53:$K$130)),"", ROW($A$53:$A$130)-ROW($K$53)+1), ROW()-ROW($A$33)+1)),"")</f>
        <v/>
      </c>
      <c r="Q46" s="296" t="str">
        <f t="array" ref="Q46">IFERROR(INDEX($A$53:$A$130, SMALL(IF(ISERROR(FIND(Q$32,$K$53:$K$130)),"", ROW($A$53:$A$130)-ROW($K$53)+1), ROW()-ROW($A$33)+1)),"")</f>
        <v/>
      </c>
    </row>
    <row r="47" spans="1:17" x14ac:dyDescent="0.25">
      <c r="A47" s="296" t="str">
        <f t="array" ref="A47">IFERROR(INDEX($A$53:$A$130, SMALL(IF(ISERROR(FIND(A$32,$K$53:$K$130)),"", ROW($A$53:$A$130)-ROW($K$53)+1), ROW()-ROW($A$33)+1)),"")</f>
        <v/>
      </c>
      <c r="B47" s="296" t="str">
        <f t="array" ref="B47">IFERROR(INDEX($A$53:$A$130, SMALL(IF(ISERROR(FIND(B$32,$K$53:$K$130)),"", ROW($A$53:$A$130)-ROW($K$53)+1), ROW()-ROW($A$33)+1)),"")</f>
        <v/>
      </c>
      <c r="C47" s="296" t="str">
        <f t="array" ref="C47">IFERROR(INDEX($A$53:$A$130, SMALL(IF(ISERROR(FIND(C$32,$K$53:$K$130)),"", ROW($A$53:$A$130)-ROW($K$53)+1), ROW()-ROW($A$33)+1)),"")</f>
        <v/>
      </c>
      <c r="D47" s="296" t="str">
        <f t="array" ref="D47">IFERROR(INDEX($A$53:$A$130, SMALL(IF(ISERROR(FIND(D$32,$K$53:$K$130)),"", ROW($A$53:$A$130)-ROW($K$53)+1), ROW()-ROW($A$33)+1)),"")</f>
        <v/>
      </c>
      <c r="E47" s="296" t="str">
        <f t="array" ref="E47">IFERROR(INDEX($A$53:$A$130, SMALL(IF(ISERROR(FIND(E$32,$K$53:$K$130)),"", ROW($A$53:$A$130)-ROW($K$53)+1), ROW()-ROW($A$33)+1)),"")</f>
        <v/>
      </c>
      <c r="F47" s="296" t="str">
        <f t="array" ref="F47">IFERROR(INDEX($A$53:$A$130, SMALL(IF(ISERROR(FIND(F$32,$K$53:$K$130)),"", ROW($A$53:$A$130)-ROW($K$53)+1), ROW()-ROW($A$33)+1)),"")</f>
        <v/>
      </c>
      <c r="G47" s="296" t="str">
        <f t="array" ref="G47">IFERROR(INDEX($A$53:$A$130, SMALL(IF(ISERROR(FIND(G$32,$K$53:$K$130)),"", ROW($A$53:$A$130)-ROW($K$53)+1), ROW()-ROW($A$33)+1)),"")</f>
        <v/>
      </c>
      <c r="H47" s="296" t="str">
        <f t="array" ref="H47">IFERROR(INDEX($A$53:$A$130, SMALL(IF(ISERROR(FIND(H$32,$K$53:$K$130)),"", ROW($A$53:$A$130)-ROW($K$53)+1), ROW()-ROW($A$33)+1)),"")</f>
        <v>Rumbelow Sheepskin</v>
      </c>
      <c r="I47" s="296" t="str">
        <f t="array" ref="I47">IFERROR(INDEX($A$53:$A$130, SMALL(IF(ISERROR(FIND(I$32,$K$53:$K$130)),"", ROW($A$53:$A$130)-ROW($K$53)+1), ROW()-ROW($A$33)+1)),"")</f>
        <v/>
      </c>
      <c r="J47" s="296" t="str">
        <f t="array" ref="J47">IFERROR(INDEX($A$53:$A$130, SMALL(IF(ISERROR(FIND(J$32,$K$53:$K$130)),"", ROW($A$53:$A$130)-ROW($K$53)+1), ROW()-ROW($A$33)+1)),"")</f>
        <v/>
      </c>
      <c r="K47" s="296" t="str">
        <f t="array" ref="K47">IFERROR(INDEX($A$53:$A$130, SMALL(IF(ISERROR(FIND(K$32,$K$53:$K$130)),"", ROW($A$53:$A$130)-ROW($K$53)+1), ROW()-ROW($A$33)+1)),"")</f>
        <v/>
      </c>
      <c r="L47" s="296" t="str">
        <f t="array" ref="L47">IFERROR(INDEX($A$53:$A$130, SMALL(IF(ISERROR(FIND(L$32,$K$53:$K$130)),"", ROW($A$53:$A$130)-ROW($K$53)+1), ROW()-ROW($A$33)+1)),"")</f>
        <v/>
      </c>
      <c r="M47" s="296" t="str">
        <f t="array" ref="M47">IFERROR(INDEX($A$53:$A$130, SMALL(IF(ISERROR(FIND(M$32,$K$53:$K$130)),"", ROW($A$53:$A$130)-ROW($K$53)+1), ROW()-ROW($A$33)+1)),"")</f>
        <v/>
      </c>
      <c r="N47" s="296" t="str">
        <f t="array" ref="N47">IFERROR(INDEX($A$53:$A$130, SMALL(IF(ISERROR(FIND(N$32,$K$53:$K$130)),"", ROW($A$53:$A$130)-ROW($K$53)+1), ROW()-ROW($A$33)+1)),"")</f>
        <v/>
      </c>
      <c r="O47" s="296" t="str">
        <f t="array" ref="O47">IFERROR(INDEX($A$53:$A$130, SMALL(IF(ISERROR(FIND(O$32,$K$53:$K$130)),"", ROW($A$53:$A$130)-ROW($K$53)+1), ROW()-ROW($A$33)+1)),"")</f>
        <v/>
      </c>
      <c r="P47" s="296" t="str">
        <f t="array" ref="P47">IFERROR(INDEX($A$53:$A$130, SMALL(IF(ISERROR(FIND(P$32,$K$53:$K$130)),"", ROW($A$53:$A$130)-ROW($K$53)+1), ROW()-ROW($A$33)+1)),"")</f>
        <v/>
      </c>
      <c r="Q47" s="296" t="str">
        <f t="array" ref="Q47">IFERROR(INDEX($A$53:$A$130, SMALL(IF(ISERROR(FIND(Q$32,$K$53:$K$130)),"", ROW($A$53:$A$130)-ROW($K$53)+1), ROW()-ROW($A$33)+1)),"")</f>
        <v/>
      </c>
    </row>
    <row r="48" spans="1:17" x14ac:dyDescent="0.25">
      <c r="A48" s="296" t="str">
        <f t="array" ref="A48">IFERROR(INDEX($A$53:$A$130, SMALL(IF(ISERROR(FIND(A$32,$K$53:$K$130)),"", ROW($A$53:$A$130)-ROW($K$53)+1), ROW()-ROW($A$33)+1)),"")</f>
        <v/>
      </c>
      <c r="B48" s="296" t="str">
        <f t="array" ref="B48">IFERROR(INDEX($A$53:$A$130, SMALL(IF(ISERROR(FIND(B$32,$K$53:$K$130)),"", ROW($A$53:$A$130)-ROW($K$53)+1), ROW()-ROW($A$33)+1)),"")</f>
        <v/>
      </c>
      <c r="C48" s="296" t="str">
        <f t="array" ref="C48">IFERROR(INDEX($A$53:$A$130, SMALL(IF(ISERROR(FIND(C$32,$K$53:$K$130)),"", ROW($A$53:$A$130)-ROW($K$53)+1), ROW()-ROW($A$33)+1)),"")</f>
        <v/>
      </c>
      <c r="D48" s="296" t="str">
        <f t="array" ref="D48">IFERROR(INDEX($A$53:$A$130, SMALL(IF(ISERROR(FIND(D$32,$K$53:$K$130)),"", ROW($A$53:$A$130)-ROW($K$53)+1), ROW()-ROW($A$33)+1)),"")</f>
        <v/>
      </c>
      <c r="E48" s="296" t="str">
        <f t="array" ref="E48">IFERROR(INDEX($A$53:$A$130, SMALL(IF(ISERROR(FIND(E$32,$K$53:$K$130)),"", ROW($A$53:$A$130)-ROW($K$53)+1), ROW()-ROW($A$33)+1)),"")</f>
        <v/>
      </c>
      <c r="F48" s="296" t="str">
        <f t="array" ref="F48">IFERROR(INDEX($A$53:$A$130, SMALL(IF(ISERROR(FIND(F$32,$K$53:$K$130)),"", ROW($A$53:$A$130)-ROW($K$53)+1), ROW()-ROW($A$33)+1)),"")</f>
        <v/>
      </c>
      <c r="G48" s="296" t="str">
        <f t="array" ref="G48">IFERROR(INDEX($A$53:$A$130, SMALL(IF(ISERROR(FIND(G$32,$K$53:$K$130)),"", ROW($A$53:$A$130)-ROW($K$53)+1), ROW()-ROW($A$33)+1)),"")</f>
        <v/>
      </c>
      <c r="H48" s="296" t="str">
        <f t="array" ref="H48">IFERROR(INDEX($A$53:$A$130, SMALL(IF(ISERROR(FIND(H$32,$K$53:$K$130)),"", ROW($A$53:$A$130)-ROW($K$53)+1), ROW()-ROW($A$33)+1)),"")</f>
        <v>Skrorg Snowpelt</v>
      </c>
      <c r="I48" s="296" t="str">
        <f t="array" ref="I48">IFERROR(INDEX($A$53:$A$130, SMALL(IF(ISERROR(FIND(I$32,$K$53:$K$130)),"", ROW($A$53:$A$130)-ROW($K$53)+1), ROW()-ROW($A$33)+1)),"")</f>
        <v/>
      </c>
      <c r="J48" s="296" t="str">
        <f t="array" ref="J48">IFERROR(INDEX($A$53:$A$130, SMALL(IF(ISERROR(FIND(J$32,$K$53:$K$130)),"", ROW($A$53:$A$130)-ROW($K$53)+1), ROW()-ROW($A$33)+1)),"")</f>
        <v/>
      </c>
      <c r="K48" s="296" t="str">
        <f t="array" ref="K48">IFERROR(INDEX($A$53:$A$130, SMALL(IF(ISERROR(FIND(K$32,$K$53:$K$130)),"", ROW($A$53:$A$130)-ROW($K$53)+1), ROW()-ROW($A$33)+1)),"")</f>
        <v/>
      </c>
      <c r="L48" s="296" t="str">
        <f t="array" ref="L48">IFERROR(INDEX($A$53:$A$130, SMALL(IF(ISERROR(FIND(L$32,$K$53:$K$130)),"", ROW($A$53:$A$130)-ROW($K$53)+1), ROW()-ROW($A$33)+1)),"")</f>
        <v/>
      </c>
      <c r="M48" s="296" t="str">
        <f t="array" ref="M48">IFERROR(INDEX($A$53:$A$130, SMALL(IF(ISERROR(FIND(M$32,$K$53:$K$130)),"", ROW($A$53:$A$130)-ROW($K$53)+1), ROW()-ROW($A$33)+1)),"")</f>
        <v/>
      </c>
      <c r="N48" s="296" t="str">
        <f t="array" ref="N48">IFERROR(INDEX($A$53:$A$130, SMALL(IF(ISERROR(FIND(N$32,$K$53:$K$130)),"", ROW($A$53:$A$130)-ROW($K$53)+1), ROW()-ROW($A$33)+1)),"")</f>
        <v/>
      </c>
      <c r="O48" s="296" t="str">
        <f t="array" ref="O48">IFERROR(INDEX($A$53:$A$130, SMALL(IF(ISERROR(FIND(O$32,$K$53:$K$130)),"", ROW($A$53:$A$130)-ROW($K$53)+1), ROW()-ROW($A$33)+1)),"")</f>
        <v/>
      </c>
      <c r="P48" s="296" t="str">
        <f t="array" ref="P48">IFERROR(INDEX($A$53:$A$130, SMALL(IF(ISERROR(FIND(P$32,$K$53:$K$130)),"", ROW($A$53:$A$130)-ROW($K$53)+1), ROW()-ROW($A$33)+1)),"")</f>
        <v/>
      </c>
      <c r="Q48" s="296" t="str">
        <f t="array" ref="Q48">IFERROR(INDEX($A$53:$A$130, SMALL(IF(ISERROR(FIND(Q$32,$K$53:$K$130)),"", ROW($A$53:$A$130)-ROW($K$53)+1), ROW()-ROW($A$33)+1)),"")</f>
        <v/>
      </c>
    </row>
    <row r="49" spans="1:17" x14ac:dyDescent="0.25">
      <c r="A49" s="296" t="str">
        <f t="array" ref="A49">IFERROR(INDEX($A$53:$A$130, SMALL(IF(ISERROR(FIND(A$32,$K$53:$K$130)),"", ROW($A$53:$A$130)-ROW($K$53)+1), ROW()-ROW($A$33)+1)),"")</f>
        <v/>
      </c>
      <c r="B49" s="296" t="str">
        <f t="array" ref="B49">IFERROR(INDEX($A$53:$A$130, SMALL(IF(ISERROR(FIND(B$32,$K$53:$K$130)),"", ROW($A$53:$A$130)-ROW($K$53)+1), ROW()-ROW($A$33)+1)),"")</f>
        <v/>
      </c>
      <c r="C49" s="296" t="str">
        <f t="array" ref="C49">IFERROR(INDEX($A$53:$A$130, SMALL(IF(ISERROR(FIND(C$32,$K$53:$K$130)),"", ROW($A$53:$A$130)-ROW($K$53)+1), ROW()-ROW($A$33)+1)),"")</f>
        <v/>
      </c>
      <c r="D49" s="296" t="str">
        <f t="array" ref="D49">IFERROR(INDEX($A$53:$A$130, SMALL(IF(ISERROR(FIND(D$32,$K$53:$K$130)),"", ROW($A$53:$A$130)-ROW($K$53)+1), ROW()-ROW($A$33)+1)),"")</f>
        <v/>
      </c>
      <c r="E49" s="296" t="str">
        <f t="array" ref="E49">IFERROR(INDEX($A$53:$A$130, SMALL(IF(ISERROR(FIND(E$32,$K$53:$K$130)),"", ROW($A$53:$A$130)-ROW($K$53)+1), ROW()-ROW($A$33)+1)),"")</f>
        <v/>
      </c>
      <c r="F49" s="296" t="str">
        <f t="array" ref="F49">IFERROR(INDEX($A$53:$A$130, SMALL(IF(ISERROR(FIND(F$32,$K$53:$K$130)),"", ROW($A$53:$A$130)-ROW($K$53)+1), ROW()-ROW($A$33)+1)),"")</f>
        <v/>
      </c>
      <c r="G49" s="296" t="str">
        <f t="array" ref="G49">IFERROR(INDEX($A$53:$A$130, SMALL(IF(ISERROR(FIND(G$32,$K$53:$K$130)),"", ROW($A$53:$A$130)-ROW($K$53)+1), ROW()-ROW($A$33)+1)),"")</f>
        <v/>
      </c>
      <c r="H49" s="296" t="str">
        <f t="array" ref="H49">IFERROR(INDEX($A$53:$A$130, SMALL(IF(ISERROR(FIND(H$32,$K$53:$K$130)),"", ROW($A$53:$A$130)-ROW($K$53)+1), ROW()-ROW($A$33)+1)),"")</f>
        <v>Thorsson Stoutmead</v>
      </c>
      <c r="I49" s="296" t="str">
        <f t="array" ref="I49">IFERROR(INDEX($A$53:$A$130, SMALL(IF(ISERROR(FIND(I$32,$K$53:$K$130)),"", ROW($A$53:$A$130)-ROW($K$53)+1), ROW()-ROW($A$33)+1)),"")</f>
        <v/>
      </c>
      <c r="J49" s="296" t="str">
        <f t="array" ref="J49">IFERROR(INDEX($A$53:$A$130, SMALL(IF(ISERROR(FIND(J$32,$K$53:$K$130)),"", ROW($A$53:$A$130)-ROW($K$53)+1), ROW()-ROW($A$33)+1)),"")</f>
        <v/>
      </c>
      <c r="K49" s="296" t="str">
        <f t="array" ref="K49">IFERROR(INDEX($A$53:$A$130, SMALL(IF(ISERROR(FIND(K$32,$K$53:$K$130)),"", ROW($A$53:$A$130)-ROW($K$53)+1), ROW()-ROW($A$33)+1)),"")</f>
        <v/>
      </c>
      <c r="L49" s="296" t="str">
        <f t="array" ref="L49">IFERROR(INDEX($A$53:$A$130, SMALL(IF(ISERROR(FIND(L$32,$K$53:$K$130)),"", ROW($A$53:$A$130)-ROW($K$53)+1), ROW()-ROW($A$33)+1)),"")</f>
        <v/>
      </c>
      <c r="M49" s="296" t="str">
        <f t="array" ref="M49">IFERROR(INDEX($A$53:$A$130, SMALL(IF(ISERROR(FIND(M$32,$K$53:$K$130)),"", ROW($A$53:$A$130)-ROW($K$53)+1), ROW()-ROW($A$33)+1)),"")</f>
        <v/>
      </c>
      <c r="N49" s="296" t="str">
        <f t="array" ref="N49">IFERROR(INDEX($A$53:$A$130, SMALL(IF(ISERROR(FIND(N$32,$K$53:$K$130)),"", ROW($A$53:$A$130)-ROW($K$53)+1), ROW()-ROW($A$33)+1)),"")</f>
        <v/>
      </c>
      <c r="O49" s="296" t="str">
        <f t="array" ref="O49">IFERROR(INDEX($A$53:$A$130, SMALL(IF(ISERROR(FIND(O$32,$K$53:$K$130)),"", ROW($A$53:$A$130)-ROW($K$53)+1), ROW()-ROW($A$33)+1)),"")</f>
        <v/>
      </c>
      <c r="P49" s="296" t="str">
        <f t="array" ref="P49">IFERROR(INDEX($A$53:$A$130, SMALL(IF(ISERROR(FIND(P$32,$K$53:$K$130)),"", ROW($A$53:$A$130)-ROW($K$53)+1), ROW()-ROW($A$33)+1)),"")</f>
        <v/>
      </c>
      <c r="Q49" s="296" t="str">
        <f t="array" ref="Q49">IFERROR(INDEX($A$53:$A$130, SMALL(IF(ISERROR(FIND(Q$32,$K$53:$K$130)),"", ROW($A$53:$A$130)-ROW($K$53)+1), ROW()-ROW($A$33)+1)),"")</f>
        <v/>
      </c>
    </row>
    <row r="50" spans="1:17" x14ac:dyDescent="0.25">
      <c r="A50" s="296" t="str">
        <f t="array" ref="A50">IFERROR(INDEX($A$53:$A$130, SMALL(IF(ISERROR(FIND(A$32,$K$53:$K$130)),"", ROW($A$53:$A$130)-ROW($K$53)+1), ROW()-ROW($A$33)+1)),"")</f>
        <v/>
      </c>
      <c r="B50" s="296" t="str">
        <f t="array" ref="B50">IFERROR(INDEX($A$53:$A$130, SMALL(IF(ISERROR(FIND(B$32,$K$53:$K$130)),"", ROW($A$53:$A$130)-ROW($K$53)+1), ROW()-ROW($A$33)+1)),"")</f>
        <v/>
      </c>
      <c r="C50" s="296" t="str">
        <f t="array" ref="C50">IFERROR(INDEX($A$53:$A$130, SMALL(IF(ISERROR(FIND(C$32,$K$53:$K$130)),"", ROW($A$53:$A$130)-ROW($K$53)+1), ROW()-ROW($A$33)+1)),"")</f>
        <v/>
      </c>
      <c r="D50" s="296" t="str">
        <f t="array" ref="D50">IFERROR(INDEX($A$53:$A$130, SMALL(IF(ISERROR(FIND(D$32,$K$53:$K$130)),"", ROW($A$53:$A$130)-ROW($K$53)+1), ROW()-ROW($A$33)+1)),"")</f>
        <v/>
      </c>
      <c r="E50" s="296" t="str">
        <f t="array" ref="E50">IFERROR(INDEX($A$53:$A$130, SMALL(IF(ISERROR(FIND(E$32,$K$53:$K$130)),"", ROW($A$53:$A$130)-ROW($K$53)+1), ROW()-ROW($A$33)+1)),"")</f>
        <v/>
      </c>
      <c r="F50" s="296" t="str">
        <f t="array" ref="F50">IFERROR(INDEX($A$53:$A$130, SMALL(IF(ISERROR(FIND(F$32,$K$53:$K$130)),"", ROW($A$53:$A$130)-ROW($K$53)+1), ROW()-ROW($A$33)+1)),"")</f>
        <v/>
      </c>
      <c r="G50" s="296" t="str">
        <f t="array" ref="G50">IFERROR(INDEX($A$53:$A$130, SMALL(IF(ISERROR(FIND(G$32,$K$53:$K$130)),"", ROW($A$53:$A$130)-ROW($K$53)+1), ROW()-ROW($A$33)+1)),"")</f>
        <v/>
      </c>
      <c r="H50" s="296" t="str">
        <f t="array" ref="H50">IFERROR(INDEX($A$53:$A$130, SMALL(IF(ISERROR(FIND(H$32,$K$53:$K$130)),"", ROW($A$53:$A$130)-ROW($K$53)+1), ROW()-ROW($A$33)+1)),"")</f>
        <v/>
      </c>
      <c r="I50" s="296" t="str">
        <f t="array" ref="I50">IFERROR(INDEX($A$53:$A$130, SMALL(IF(ISERROR(FIND(I$32,$K$53:$K$130)),"", ROW($A$53:$A$130)-ROW($K$53)+1), ROW()-ROW($A$33)+1)),"")</f>
        <v/>
      </c>
      <c r="J50" s="296" t="str">
        <f t="array" ref="J50">IFERROR(INDEX($A$53:$A$130, SMALL(IF(ISERROR(FIND(J$32,$K$53:$K$130)),"", ROW($A$53:$A$130)-ROW($K$53)+1), ROW()-ROW($A$33)+1)),"")</f>
        <v/>
      </c>
      <c r="K50" s="296" t="str">
        <f t="array" ref="K50">IFERROR(INDEX($A$53:$A$130, SMALL(IF(ISERROR(FIND(K$32,$K$53:$K$130)),"", ROW($A$53:$A$130)-ROW($K$53)+1), ROW()-ROW($A$33)+1)),"")</f>
        <v/>
      </c>
      <c r="L50" s="296" t="str">
        <f t="array" ref="L50">IFERROR(INDEX($A$53:$A$130, SMALL(IF(ISERROR(FIND(L$32,$K$53:$K$130)),"", ROW($A$53:$A$130)-ROW($K$53)+1), ROW()-ROW($A$33)+1)),"")</f>
        <v/>
      </c>
      <c r="M50" s="296" t="str">
        <f t="array" ref="M50">IFERROR(INDEX($A$53:$A$130, SMALL(IF(ISERROR(FIND(M$32,$K$53:$K$130)),"", ROW($A$53:$A$130)-ROW($K$53)+1), ROW()-ROW($A$33)+1)),"")</f>
        <v/>
      </c>
      <c r="N50" s="296" t="str">
        <f t="array" ref="N50">IFERROR(INDEX($A$53:$A$130, SMALL(IF(ISERROR(FIND(N$32,$K$53:$K$130)),"", ROW($A$53:$A$130)-ROW($K$53)+1), ROW()-ROW($A$33)+1)),"")</f>
        <v/>
      </c>
      <c r="O50" s="296" t="str">
        <f t="array" ref="O50">IFERROR(INDEX($A$53:$A$130, SMALL(IF(ISERROR(FIND(O$32,$K$53:$K$130)),"", ROW($A$53:$A$130)-ROW($K$53)+1), ROW()-ROW($A$33)+1)),"")</f>
        <v/>
      </c>
      <c r="P50" s="296" t="str">
        <f t="array" ref="P50">IFERROR(INDEX($A$53:$A$130, SMALL(IF(ISERROR(FIND(P$32,$K$53:$K$130)),"", ROW($A$53:$A$130)-ROW($K$53)+1), ROW()-ROW($A$33)+1)),"")</f>
        <v/>
      </c>
      <c r="Q50" s="296" t="str">
        <f t="array" ref="Q50">IFERROR(INDEX($A$53:$A$130, SMALL(IF(ISERROR(FIND(Q$32,$K$53:$K$130)),"", ROW($A$53:$A$130)-ROW($K$53)+1), ROW()-ROW($A$33)+1)),"")</f>
        <v/>
      </c>
    </row>
    <row r="51" spans="1:17" x14ac:dyDescent="0.25">
      <c r="A51" s="296" t="str">
        <f t="array" ref="A51">IFERROR(INDEX($A$53:$A$130, SMALL(IF(ISERROR(FIND(A$32,$K$53:$K$130)),"", ROW($A$53:$A$130)-ROW($K$53)+1), ROW()-ROW($A$33)+1)),"")</f>
        <v/>
      </c>
      <c r="B51" s="296" t="str">
        <f t="array" ref="B51">IFERROR(INDEX($A$53:$A$130, SMALL(IF(ISERROR(FIND(B$32,$K$53:$K$130)),"", ROW($A$53:$A$130)-ROW($K$53)+1), ROW()-ROW($A$33)+1)),"")</f>
        <v/>
      </c>
      <c r="C51" s="296" t="str">
        <f t="array" ref="C51">IFERROR(INDEX($A$53:$A$130, SMALL(IF(ISERROR(FIND(C$32,$K$53:$K$130)),"", ROW($A$53:$A$130)-ROW($K$53)+1), ROW()-ROW($A$33)+1)),"")</f>
        <v/>
      </c>
      <c r="D51" s="296" t="str">
        <f t="array" ref="D51">IFERROR(INDEX($A$53:$A$130, SMALL(IF(ISERROR(FIND(D$32,$K$53:$K$130)),"", ROW($A$53:$A$130)-ROW($K$53)+1), ROW()-ROW($A$33)+1)),"")</f>
        <v/>
      </c>
      <c r="E51" s="296" t="str">
        <f t="array" ref="E51">IFERROR(INDEX($A$53:$A$130, SMALL(IF(ISERROR(FIND(E$32,$K$53:$K$130)),"", ROW($A$53:$A$130)-ROW($K$53)+1), ROW()-ROW($A$33)+1)),"")</f>
        <v/>
      </c>
      <c r="F51" s="296" t="str">
        <f t="array" ref="F51">IFERROR(INDEX($A$53:$A$130, SMALL(IF(ISERROR(FIND(F$32,$K$53:$K$130)),"", ROW($A$53:$A$130)-ROW($K$53)+1), ROW()-ROW($A$33)+1)),"")</f>
        <v/>
      </c>
      <c r="G51" s="296" t="str">
        <f t="array" ref="G51">IFERROR(INDEX($A$53:$A$130, SMALL(IF(ISERROR(FIND(G$32,$K$53:$K$130)),"", ROW($A$53:$A$130)-ROW($K$53)+1), ROW()-ROW($A$33)+1)),"")</f>
        <v/>
      </c>
      <c r="H51" s="296" t="str">
        <f t="array" ref="H51">IFERROR(INDEX($A$53:$A$130, SMALL(IF(ISERROR(FIND(H$32,$K$53:$K$130)),"", ROW($A$53:$A$130)-ROW($K$53)+1), ROW()-ROW($A$33)+1)),"")</f>
        <v/>
      </c>
      <c r="I51" s="296" t="str">
        <f t="array" ref="I51">IFERROR(INDEX($A$53:$A$130, SMALL(IF(ISERROR(FIND(I$32,$K$53:$K$130)),"", ROW($A$53:$A$130)-ROW($K$53)+1), ROW()-ROW($A$33)+1)),"")</f>
        <v/>
      </c>
      <c r="J51" s="296" t="str">
        <f t="array" ref="J51">IFERROR(INDEX($A$53:$A$130, SMALL(IF(ISERROR(FIND(J$32,$K$53:$K$130)),"", ROW($A$53:$A$130)-ROW($K$53)+1), ROW()-ROW($A$33)+1)),"")</f>
        <v/>
      </c>
      <c r="K51" s="296" t="str">
        <f t="array" ref="K51">IFERROR(INDEX($A$53:$A$130, SMALL(IF(ISERROR(FIND(K$32,$K$53:$K$130)),"", ROW($A$53:$A$130)-ROW($K$53)+1), ROW()-ROW($A$33)+1)),"")</f>
        <v/>
      </c>
      <c r="L51" s="296" t="str">
        <f t="array" ref="L51">IFERROR(INDEX($A$53:$A$130, SMALL(IF(ISERROR(FIND(L$32,$K$53:$K$130)),"", ROW($A$53:$A$130)-ROW($K$53)+1), ROW()-ROW($A$33)+1)),"")</f>
        <v/>
      </c>
      <c r="M51" s="296" t="str">
        <f t="array" ref="M51">IFERROR(INDEX($A$53:$A$130, SMALL(IF(ISERROR(FIND(M$32,$K$53:$K$130)),"", ROW($A$53:$A$130)-ROW($K$53)+1), ROW()-ROW($A$33)+1)),"")</f>
        <v/>
      </c>
      <c r="N51" s="296" t="str">
        <f t="array" ref="N51">IFERROR(INDEX($A$53:$A$130, SMALL(IF(ISERROR(FIND(N$32,$K$53:$K$130)),"", ROW($A$53:$A$130)-ROW($K$53)+1), ROW()-ROW($A$33)+1)),"")</f>
        <v/>
      </c>
      <c r="O51" s="296" t="str">
        <f t="array" ref="O51">IFERROR(INDEX($A$53:$A$130, SMALL(IF(ISERROR(FIND(O$32,$K$53:$K$130)),"", ROW($A$53:$A$130)-ROW($K$53)+1), ROW()-ROW($A$33)+1)),"")</f>
        <v/>
      </c>
      <c r="P51" s="296" t="str">
        <f t="array" ref="P51">IFERROR(INDEX($A$53:$A$130, SMALL(IF(ISERROR(FIND(P$32,$K$53:$K$130)),"", ROW($A$53:$A$130)-ROW($K$53)+1), ROW()-ROW($A$33)+1)),"")</f>
        <v/>
      </c>
      <c r="Q51" s="296" t="str">
        <f t="array" ref="Q51">IFERROR(INDEX($A$53:$A$130, SMALL(IF(ISERROR(FIND(Q$32,$K$53:$K$130)),"", ROW($A$53:$A$130)-ROW($K$53)+1), ROW()-ROW($A$33)+1)),"")</f>
        <v/>
      </c>
    </row>
    <row r="52" spans="1:17" ht="15.75" thickBot="1" x14ac:dyDescent="0.3">
      <c r="A52" s="175" t="s">
        <v>20</v>
      </c>
      <c r="B52" s="305" t="s">
        <v>879</v>
      </c>
      <c r="C52" s="305" t="s">
        <v>5</v>
      </c>
      <c r="D52" s="305" t="s">
        <v>6</v>
      </c>
      <c r="E52" s="305" t="s">
        <v>7</v>
      </c>
      <c r="F52" s="305" t="s">
        <v>8</v>
      </c>
      <c r="G52" s="305" t="s">
        <v>9</v>
      </c>
      <c r="H52" s="175" t="s">
        <v>662</v>
      </c>
      <c r="I52" s="175" t="s">
        <v>1051</v>
      </c>
      <c r="J52" s="175" t="s">
        <v>1052</v>
      </c>
      <c r="K52" s="175" t="s">
        <v>1070</v>
      </c>
      <c r="L52" s="175" t="s">
        <v>1053</v>
      </c>
      <c r="M52" s="175" t="s">
        <v>1054</v>
      </c>
    </row>
    <row r="53" spans="1:17" s="118" customFormat="1" x14ac:dyDescent="0.25">
      <c r="A53" s="118" t="s">
        <v>703</v>
      </c>
      <c r="B53" s="302">
        <v>80</v>
      </c>
      <c r="C53" s="302">
        <v>7</v>
      </c>
      <c r="D53" s="302">
        <v>1</v>
      </c>
      <c r="E53" s="302">
        <v>2</v>
      </c>
      <c r="F53" s="303" t="s">
        <v>26</v>
      </c>
      <c r="G53" s="302">
        <v>6</v>
      </c>
      <c r="H53" s="118" t="s">
        <v>775</v>
      </c>
      <c r="I53" s="118" t="str">
        <f>LEFT(J53,FIND(":",J53)-1)</f>
        <v>BLIND RAGE</v>
      </c>
      <c r="J53" s="118" t="s">
        <v>704</v>
      </c>
      <c r="K53" s="118" t="s">
        <v>1064</v>
      </c>
    </row>
    <row r="54" spans="1:17" x14ac:dyDescent="0.25">
      <c r="A54" t="s">
        <v>1015</v>
      </c>
      <c r="B54" s="123">
        <v>80</v>
      </c>
      <c r="C54" s="123">
        <v>6</v>
      </c>
      <c r="D54" s="123">
        <v>3</v>
      </c>
      <c r="E54" s="123">
        <v>4</v>
      </c>
      <c r="F54" s="304">
        <v>3</v>
      </c>
      <c r="G54" s="123">
        <v>9</v>
      </c>
      <c r="H54" t="s">
        <v>1016</v>
      </c>
      <c r="I54" t="str">
        <f t="shared" ref="I54:I91" si="0">LEFT(J54,FIND(":",J54)-1)</f>
        <v>BLAST IT!</v>
      </c>
      <c r="J54" t="s">
        <v>1021</v>
      </c>
      <c r="K54" t="s">
        <v>1043</v>
      </c>
    </row>
    <row r="55" spans="1:17" x14ac:dyDescent="0.25">
      <c r="A55" t="s">
        <v>1012</v>
      </c>
      <c r="B55" s="123">
        <v>50</v>
      </c>
      <c r="C55" s="123">
        <v>6</v>
      </c>
      <c r="D55" s="123">
        <v>2</v>
      </c>
      <c r="E55" s="123">
        <v>3</v>
      </c>
      <c r="F55" s="304">
        <v>3</v>
      </c>
      <c r="G55" s="123">
        <v>8</v>
      </c>
      <c r="H55" t="s">
        <v>1013</v>
      </c>
      <c r="I55" t="str">
        <f t="shared" si="0"/>
        <v>KABOOM!</v>
      </c>
      <c r="J55" t="s">
        <v>1014</v>
      </c>
      <c r="K55" t="s">
        <v>514</v>
      </c>
      <c r="L55" t="str">
        <f>"Hiring this Star costs "&amp;M55&amp;" Primary Skills."</f>
        <v>Hiring this Star costs 2 Primary Skills.</v>
      </c>
      <c r="M55">
        <v>2</v>
      </c>
    </row>
    <row r="56" spans="1:17" x14ac:dyDescent="0.25">
      <c r="A56" t="s">
        <v>1017</v>
      </c>
      <c r="B56" s="123">
        <v>130</v>
      </c>
      <c r="C56" s="123">
        <v>5</v>
      </c>
      <c r="D56" s="123">
        <v>3</v>
      </c>
      <c r="E56" s="123">
        <v>4</v>
      </c>
      <c r="F56" s="304" t="s">
        <v>26</v>
      </c>
      <c r="G56" s="123">
        <v>10</v>
      </c>
      <c r="H56" t="s">
        <v>776</v>
      </c>
      <c r="I56" t="str">
        <f t="shared" si="0"/>
        <v>GHOSTLY FLAMES</v>
      </c>
      <c r="J56" t="s">
        <v>695</v>
      </c>
      <c r="K56" t="s">
        <v>180</v>
      </c>
    </row>
    <row r="57" spans="1:17" x14ac:dyDescent="0.25">
      <c r="A57" t="s">
        <v>496</v>
      </c>
      <c r="B57" s="123">
        <v>280</v>
      </c>
      <c r="C57" s="123">
        <v>2</v>
      </c>
      <c r="D57" s="123">
        <v>7</v>
      </c>
      <c r="E57" s="123">
        <v>5</v>
      </c>
      <c r="F57" s="123">
        <v>4</v>
      </c>
      <c r="G57" s="123">
        <v>11</v>
      </c>
      <c r="H57" t="s">
        <v>777</v>
      </c>
      <c r="I57" t="str">
        <f t="shared" si="0"/>
        <v>RELIABLE</v>
      </c>
      <c r="J57" t="s">
        <v>598</v>
      </c>
      <c r="K57" t="s">
        <v>1043</v>
      </c>
      <c r="L57" t="str">
        <f>"Hiring this Star costs "&amp;M57&amp;" Primary Skills."</f>
        <v>Hiring this Star costs 2 Primary Skills.</v>
      </c>
      <c r="M57">
        <v>2</v>
      </c>
    </row>
    <row r="58" spans="1:17" x14ac:dyDescent="0.25">
      <c r="A58" t="s">
        <v>497</v>
      </c>
      <c r="B58" s="123">
        <v>230</v>
      </c>
      <c r="C58" s="123">
        <v>8</v>
      </c>
      <c r="D58" s="123">
        <v>3</v>
      </c>
      <c r="E58" s="123">
        <v>2</v>
      </c>
      <c r="F58" s="123">
        <v>5</v>
      </c>
      <c r="G58" s="123">
        <v>8</v>
      </c>
      <c r="H58" t="s">
        <v>778</v>
      </c>
      <c r="I58" t="str">
        <f t="shared" si="0"/>
        <v>MESMERIZING DANCE</v>
      </c>
      <c r="J58" t="s">
        <v>599</v>
      </c>
      <c r="K58" t="s">
        <v>174</v>
      </c>
    </row>
    <row r="59" spans="1:17" x14ac:dyDescent="0.25">
      <c r="A59" t="s">
        <v>692</v>
      </c>
      <c r="B59" s="123">
        <v>250</v>
      </c>
      <c r="C59" s="123">
        <v>4</v>
      </c>
      <c r="D59" s="123">
        <v>5</v>
      </c>
      <c r="E59" s="123">
        <v>4</v>
      </c>
      <c r="F59" s="304" t="s">
        <v>26</v>
      </c>
      <c r="G59" s="123">
        <v>10</v>
      </c>
      <c r="H59" t="s">
        <v>779</v>
      </c>
      <c r="I59" t="str">
        <f t="shared" si="0"/>
        <v>BRUTAL BLOCK</v>
      </c>
      <c r="J59" t="s">
        <v>691</v>
      </c>
      <c r="K59" t="s">
        <v>1042</v>
      </c>
    </row>
    <row r="60" spans="1:17" x14ac:dyDescent="0.25">
      <c r="A60" t="s">
        <v>1009</v>
      </c>
      <c r="B60" s="123">
        <v>80</v>
      </c>
      <c r="C60" s="123">
        <v>4</v>
      </c>
      <c r="D60" s="123">
        <v>7</v>
      </c>
      <c r="E60" s="123">
        <v>3</v>
      </c>
      <c r="F60" s="304" t="s">
        <v>26</v>
      </c>
      <c r="G60" s="123">
        <v>8</v>
      </c>
      <c r="H60" t="s">
        <v>1010</v>
      </c>
      <c r="I60" t="str">
        <f t="shared" si="0"/>
        <v>WHIRLING DERVISH!</v>
      </c>
      <c r="J60" t="s">
        <v>1011</v>
      </c>
      <c r="K60" t="s">
        <v>514</v>
      </c>
    </row>
    <row r="61" spans="1:17" x14ac:dyDescent="0.25">
      <c r="A61" t="s">
        <v>498</v>
      </c>
      <c r="B61" s="123">
        <v>195</v>
      </c>
      <c r="C61" s="123">
        <v>5</v>
      </c>
      <c r="D61" s="123">
        <v>4</v>
      </c>
      <c r="E61" s="123">
        <v>4</v>
      </c>
      <c r="F61" s="304" t="s">
        <v>26</v>
      </c>
      <c r="G61" s="123">
        <v>9</v>
      </c>
      <c r="H61" t="s">
        <v>780</v>
      </c>
      <c r="I61" t="str">
        <f t="shared" si="0"/>
        <v>FRENZIED RUSH</v>
      </c>
      <c r="J61" t="s">
        <v>600</v>
      </c>
      <c r="K61" t="s">
        <v>1059</v>
      </c>
    </row>
    <row r="62" spans="1:17" x14ac:dyDescent="0.25">
      <c r="A62" t="s">
        <v>499</v>
      </c>
      <c r="B62" s="123">
        <v>150</v>
      </c>
      <c r="C62" s="123">
        <v>7</v>
      </c>
      <c r="D62" s="123">
        <v>2</v>
      </c>
      <c r="E62" s="123">
        <v>2</v>
      </c>
      <c r="F62" s="123">
        <v>2</v>
      </c>
      <c r="G62" s="123">
        <v>8</v>
      </c>
      <c r="H62" t="s">
        <v>781</v>
      </c>
      <c r="I62" t="str">
        <f t="shared" si="0"/>
        <v>SHOT TO NOTHING</v>
      </c>
      <c r="J62" t="s">
        <v>601</v>
      </c>
      <c r="K62" t="s">
        <v>1060</v>
      </c>
    </row>
    <row r="63" spans="1:17" x14ac:dyDescent="0.25">
      <c r="A63" t="s">
        <v>516</v>
      </c>
      <c r="B63" s="123">
        <v>125</v>
      </c>
      <c r="C63" s="304">
        <v>5</v>
      </c>
      <c r="D63" s="123">
        <v>5</v>
      </c>
      <c r="E63" s="123">
        <v>4</v>
      </c>
      <c r="F63" s="123">
        <v>4</v>
      </c>
      <c r="G63" s="123">
        <v>10</v>
      </c>
      <c r="H63" t="s">
        <v>782</v>
      </c>
      <c r="I63" t="str">
        <f t="shared" si="0"/>
        <v>TWO FOR ONE (1)</v>
      </c>
      <c r="J63" t="s">
        <v>602</v>
      </c>
      <c r="K63" t="s">
        <v>1064</v>
      </c>
    </row>
    <row r="64" spans="1:17" x14ac:dyDescent="0.25">
      <c r="A64" t="s">
        <v>517</v>
      </c>
      <c r="B64" s="123">
        <v>125</v>
      </c>
      <c r="C64" s="123">
        <v>5</v>
      </c>
      <c r="D64" s="123">
        <v>2</v>
      </c>
      <c r="E64" s="123">
        <v>3</v>
      </c>
      <c r="F64" s="123">
        <v>6</v>
      </c>
      <c r="G64" s="123">
        <v>7</v>
      </c>
      <c r="H64" t="s">
        <v>783</v>
      </c>
      <c r="I64" t="str">
        <f t="shared" si="0"/>
        <v>TWO FOR ONE (2)</v>
      </c>
      <c r="J64" t="s">
        <v>603</v>
      </c>
      <c r="K64" t="s">
        <v>1064</v>
      </c>
    </row>
    <row r="65" spans="1:13" x14ac:dyDescent="0.25">
      <c r="A65" t="s">
        <v>1018</v>
      </c>
      <c r="B65" s="123">
        <v>240</v>
      </c>
      <c r="C65" s="123">
        <v>6</v>
      </c>
      <c r="D65" s="123">
        <v>6</v>
      </c>
      <c r="E65" s="123">
        <v>4</v>
      </c>
      <c r="F65" s="304" t="s">
        <v>26</v>
      </c>
      <c r="G65" s="123">
        <v>9</v>
      </c>
      <c r="H65" t="s">
        <v>1019</v>
      </c>
      <c r="I65" t="str">
        <f t="shared" si="0"/>
        <v>GORED BY THE BULL</v>
      </c>
      <c r="J65" t="s">
        <v>1020</v>
      </c>
      <c r="K65" t="s">
        <v>185</v>
      </c>
    </row>
    <row r="66" spans="1:13" x14ac:dyDescent="0.25">
      <c r="A66" t="s">
        <v>949</v>
      </c>
      <c r="B66" s="123">
        <v>260</v>
      </c>
      <c r="C66" s="123">
        <v>7</v>
      </c>
      <c r="D66" s="123">
        <v>3</v>
      </c>
      <c r="E66" s="123">
        <v>2</v>
      </c>
      <c r="F66" s="304" t="s">
        <v>26</v>
      </c>
      <c r="G66" s="123">
        <v>9</v>
      </c>
      <c r="H66" t="s">
        <v>784</v>
      </c>
      <c r="I66" t="str">
        <f t="shared" si="0"/>
        <v>INCORPOREAL</v>
      </c>
      <c r="J66" t="s">
        <v>948</v>
      </c>
      <c r="K66" t="s">
        <v>180</v>
      </c>
    </row>
    <row r="67" spans="1:13" x14ac:dyDescent="0.25">
      <c r="A67" t="s">
        <v>500</v>
      </c>
      <c r="B67" s="123">
        <v>280</v>
      </c>
      <c r="C67" s="123">
        <v>7</v>
      </c>
      <c r="D67" s="123">
        <v>4</v>
      </c>
      <c r="E67" s="123">
        <v>2</v>
      </c>
      <c r="F67" s="123">
        <v>3</v>
      </c>
      <c r="G67" s="123">
        <v>9</v>
      </c>
      <c r="H67" t="s">
        <v>785</v>
      </c>
      <c r="I67" t="str">
        <f t="shared" si="0"/>
        <v>CONSUMMATE PROFESSIONAL</v>
      </c>
      <c r="J67" t="s">
        <v>604</v>
      </c>
      <c r="K67" t="s">
        <v>1043</v>
      </c>
      <c r="L67" t="str">
        <f>"Hiring this Star costs "&amp;M67&amp;" Primary Skills."</f>
        <v>Hiring this Star costs 3 Primary Skills.</v>
      </c>
      <c r="M67">
        <v>3</v>
      </c>
    </row>
    <row r="68" spans="1:13" x14ac:dyDescent="0.25">
      <c r="A68" t="s">
        <v>501</v>
      </c>
      <c r="B68" s="123">
        <v>200</v>
      </c>
      <c r="C68" s="123">
        <v>5</v>
      </c>
      <c r="D68" s="123">
        <v>4</v>
      </c>
      <c r="E68" s="123">
        <v>3</v>
      </c>
      <c r="F68" s="304" t="s">
        <v>26</v>
      </c>
      <c r="G68" s="123">
        <v>9</v>
      </c>
      <c r="H68" t="s">
        <v>786</v>
      </c>
      <c r="I68" t="str">
        <f t="shared" si="0"/>
        <v>SLAYER</v>
      </c>
      <c r="J68" t="s">
        <v>605</v>
      </c>
      <c r="K68" t="s">
        <v>1061</v>
      </c>
    </row>
    <row r="69" spans="1:13" x14ac:dyDescent="0.25">
      <c r="A69" t="s">
        <v>511</v>
      </c>
      <c r="B69" s="123">
        <v>210</v>
      </c>
      <c r="C69" s="123">
        <v>5</v>
      </c>
      <c r="D69" s="123">
        <v>3</v>
      </c>
      <c r="E69" s="123">
        <v>3</v>
      </c>
      <c r="F69" s="123">
        <v>4</v>
      </c>
      <c r="G69" s="123">
        <v>10</v>
      </c>
      <c r="H69" t="s">
        <v>787</v>
      </c>
      <c r="I69" t="str">
        <f t="shared" si="0"/>
        <v>WISDOM OF THE WHITE DWARF</v>
      </c>
      <c r="J69" t="s">
        <v>606</v>
      </c>
      <c r="K69" t="s">
        <v>1062</v>
      </c>
    </row>
    <row r="70" spans="1:13" x14ac:dyDescent="0.25">
      <c r="A70" t="s">
        <v>502</v>
      </c>
      <c r="B70" s="123">
        <v>210</v>
      </c>
      <c r="C70" s="123">
        <v>9</v>
      </c>
      <c r="D70" s="123">
        <v>3</v>
      </c>
      <c r="E70" s="123">
        <v>2</v>
      </c>
      <c r="F70" s="123">
        <v>3</v>
      </c>
      <c r="G70" s="123">
        <v>8</v>
      </c>
      <c r="H70" t="s">
        <v>788</v>
      </c>
      <c r="I70" t="str">
        <f t="shared" si="0"/>
        <v>TREACHEROUS</v>
      </c>
      <c r="J70" t="s">
        <v>607</v>
      </c>
      <c r="K70" t="s">
        <v>1059</v>
      </c>
      <c r="L70" t="str">
        <f>"Hiring this Star costs "&amp;M70&amp;" Primary Skills."</f>
        <v>Hiring this Star costs 2 Primary Skills.</v>
      </c>
      <c r="M70">
        <v>2</v>
      </c>
    </row>
    <row r="71" spans="1:13" x14ac:dyDescent="0.25">
      <c r="A71" t="s">
        <v>503</v>
      </c>
      <c r="B71" s="123">
        <v>140</v>
      </c>
      <c r="C71" s="123">
        <v>6</v>
      </c>
      <c r="D71" s="304">
        <v>3</v>
      </c>
      <c r="E71" s="123">
        <v>3</v>
      </c>
      <c r="F71" s="304" t="s">
        <v>26</v>
      </c>
      <c r="G71" s="123">
        <v>9</v>
      </c>
      <c r="H71" t="s">
        <v>789</v>
      </c>
      <c r="I71" t="str">
        <f t="shared" si="0"/>
        <v>OLD PRO</v>
      </c>
      <c r="J71" t="s">
        <v>608</v>
      </c>
      <c r="K71" t="s">
        <v>1064</v>
      </c>
    </row>
    <row r="72" spans="1:13" x14ac:dyDescent="0.25">
      <c r="A72" t="s">
        <v>1036</v>
      </c>
      <c r="B72" s="123">
        <v>245</v>
      </c>
      <c r="C72" s="123">
        <v>6</v>
      </c>
      <c r="D72" s="304">
        <v>4</v>
      </c>
      <c r="E72" s="123">
        <v>3</v>
      </c>
      <c r="F72" s="304">
        <v>4</v>
      </c>
      <c r="G72" s="123">
        <v>9</v>
      </c>
      <c r="H72" t="s">
        <v>1037</v>
      </c>
      <c r="I72" t="str">
        <f t="shared" si="0"/>
        <v>AIDING PARTY!</v>
      </c>
      <c r="J72" t="s">
        <v>1038</v>
      </c>
      <c r="K72" t="s">
        <v>176</v>
      </c>
    </row>
    <row r="73" spans="1:13" x14ac:dyDescent="0.25">
      <c r="A73" t="s">
        <v>700</v>
      </c>
      <c r="B73" s="123">
        <v>210</v>
      </c>
      <c r="C73" s="123">
        <v>6</v>
      </c>
      <c r="D73" s="123">
        <v>4</v>
      </c>
      <c r="E73" s="123">
        <v>3</v>
      </c>
      <c r="F73" s="123">
        <v>4</v>
      </c>
      <c r="G73" s="123">
        <v>9</v>
      </c>
      <c r="H73" t="s">
        <v>790</v>
      </c>
      <c r="I73" t="str">
        <f t="shared" si="0"/>
        <v>INDOMITABLE</v>
      </c>
      <c r="J73" t="s">
        <v>609</v>
      </c>
      <c r="K73" t="s">
        <v>1063</v>
      </c>
    </row>
    <row r="74" spans="1:13" x14ac:dyDescent="0.25">
      <c r="A74" t="s">
        <v>942</v>
      </c>
      <c r="B74" s="123">
        <v>170</v>
      </c>
      <c r="C74" s="123">
        <v>5</v>
      </c>
      <c r="D74" s="123">
        <v>7</v>
      </c>
      <c r="E74" s="123">
        <v>4</v>
      </c>
      <c r="F74" s="123" t="s">
        <v>26</v>
      </c>
      <c r="G74" s="123">
        <v>10</v>
      </c>
      <c r="H74" t="s">
        <v>947</v>
      </c>
      <c r="I74" t="str">
        <f t="shared" si="0"/>
        <v>I'LL BE BACK!</v>
      </c>
      <c r="J74" t="s">
        <v>946</v>
      </c>
      <c r="K74" t="s">
        <v>1059</v>
      </c>
      <c r="L74" t="str">
        <f>"Hiring this Star costs "&amp;M74&amp;" Primary Skills."</f>
        <v>Hiring this Star costs 2 Primary Skills.</v>
      </c>
      <c r="M74">
        <v>2</v>
      </c>
    </row>
    <row r="75" spans="1:13" x14ac:dyDescent="0.25">
      <c r="A75" t="s">
        <v>504</v>
      </c>
      <c r="B75" s="123">
        <v>260</v>
      </c>
      <c r="C75" s="123">
        <v>5</v>
      </c>
      <c r="D75" s="123">
        <v>5</v>
      </c>
      <c r="E75" s="123">
        <v>3</v>
      </c>
      <c r="F75" s="123">
        <v>5</v>
      </c>
      <c r="G75" s="123">
        <v>10</v>
      </c>
      <c r="H75" t="s">
        <v>791</v>
      </c>
      <c r="I75" t="str">
        <f t="shared" si="0"/>
        <v>LORD OF CHAOS</v>
      </c>
      <c r="J75" t="s">
        <v>610</v>
      </c>
      <c r="K75" t="s">
        <v>185</v>
      </c>
    </row>
    <row r="76" spans="1:13" x14ac:dyDescent="0.25">
      <c r="A76" t="s">
        <v>943</v>
      </c>
      <c r="B76" s="123">
        <v>130</v>
      </c>
      <c r="C76" s="123">
        <v>5</v>
      </c>
      <c r="D76" s="123">
        <v>4</v>
      </c>
      <c r="E76" s="123">
        <v>4</v>
      </c>
      <c r="F76" s="123" t="s">
        <v>26</v>
      </c>
      <c r="G76" s="123">
        <v>9</v>
      </c>
      <c r="H76" t="s">
        <v>944</v>
      </c>
      <c r="I76" t="str">
        <f t="shared" si="0"/>
        <v>MAXIMUM CARNAGE</v>
      </c>
      <c r="J76" t="s">
        <v>945</v>
      </c>
      <c r="K76" t="s">
        <v>1027</v>
      </c>
    </row>
    <row r="77" spans="1:13" x14ac:dyDescent="0.25">
      <c r="A77" t="s">
        <v>505</v>
      </c>
      <c r="B77" s="123">
        <v>220</v>
      </c>
      <c r="C77" s="123">
        <v>4</v>
      </c>
      <c r="D77" s="123">
        <v>5</v>
      </c>
      <c r="E77" s="123">
        <v>4</v>
      </c>
      <c r="F77" s="123">
        <v>6</v>
      </c>
      <c r="G77" s="123">
        <v>10</v>
      </c>
      <c r="H77" t="s">
        <v>792</v>
      </c>
      <c r="I77" t="str">
        <f t="shared" si="0"/>
        <v>CRUSHING BLOW</v>
      </c>
      <c r="J77" t="s">
        <v>701</v>
      </c>
      <c r="K77" t="s">
        <v>1063</v>
      </c>
    </row>
    <row r="78" spans="1:13" x14ac:dyDescent="0.25">
      <c r="A78" t="s">
        <v>506</v>
      </c>
      <c r="B78" s="123">
        <v>380</v>
      </c>
      <c r="C78" s="123">
        <v>6</v>
      </c>
      <c r="D78" s="123">
        <v>6</v>
      </c>
      <c r="E78" s="123">
        <v>3</v>
      </c>
      <c r="F78" s="123">
        <v>4</v>
      </c>
      <c r="G78" s="123">
        <v>11</v>
      </c>
      <c r="H78" t="s">
        <v>793</v>
      </c>
      <c r="I78" t="str">
        <f t="shared" si="0"/>
        <v>THE BALLISTA</v>
      </c>
      <c r="J78" t="s">
        <v>611</v>
      </c>
      <c r="K78" t="s">
        <v>1065</v>
      </c>
      <c r="L78" t="str">
        <f>"Hiring this Star costs "&amp;M78&amp;" Primary Skills."</f>
        <v>Hiring this Star costs 3 Primary Skills.</v>
      </c>
      <c r="M78">
        <v>3</v>
      </c>
    </row>
    <row r="79" spans="1:13" x14ac:dyDescent="0.25">
      <c r="A79" t="s">
        <v>507</v>
      </c>
      <c r="B79" s="123">
        <v>270</v>
      </c>
      <c r="C79" s="123">
        <v>8</v>
      </c>
      <c r="D79" s="123">
        <v>3</v>
      </c>
      <c r="E79" s="123">
        <v>1</v>
      </c>
      <c r="F79" s="123">
        <v>4</v>
      </c>
      <c r="G79" s="123">
        <v>8</v>
      </c>
      <c r="H79" t="s">
        <v>794</v>
      </c>
      <c r="I79" t="str">
        <f t="shared" si="0"/>
        <v>BURST OF SPEED</v>
      </c>
      <c r="J79" t="s">
        <v>709</v>
      </c>
      <c r="K79" t="s">
        <v>174</v>
      </c>
    </row>
    <row r="80" spans="1:13" x14ac:dyDescent="0.25">
      <c r="A80" t="s">
        <v>508</v>
      </c>
      <c r="B80" s="123">
        <v>170</v>
      </c>
      <c r="C80" s="123">
        <v>6</v>
      </c>
      <c r="D80" s="123">
        <v>3</v>
      </c>
      <c r="E80" s="123">
        <v>3</v>
      </c>
      <c r="F80" s="304" t="s">
        <v>26</v>
      </c>
      <c r="G80" s="123">
        <v>8</v>
      </c>
      <c r="H80" t="s">
        <v>795</v>
      </c>
      <c r="I80" t="str">
        <f t="shared" si="0"/>
        <v>RAM</v>
      </c>
      <c r="J80" t="s">
        <v>710</v>
      </c>
      <c r="K80" t="s">
        <v>1061</v>
      </c>
    </row>
    <row r="81" spans="1:13" x14ac:dyDescent="0.25">
      <c r="A81" t="s">
        <v>1022</v>
      </c>
      <c r="B81" s="123">
        <v>200</v>
      </c>
      <c r="C81" s="123">
        <v>5</v>
      </c>
      <c r="D81" s="123">
        <v>5</v>
      </c>
      <c r="E81" s="123">
        <v>4</v>
      </c>
      <c r="F81" s="304" t="s">
        <v>26</v>
      </c>
      <c r="G81" s="123">
        <v>10</v>
      </c>
      <c r="H81" t="s">
        <v>1024</v>
      </c>
      <c r="I81" t="str">
        <f t="shared" si="0"/>
        <v>FURY OF THE BLOOD GOD</v>
      </c>
      <c r="J81" t="s">
        <v>1025</v>
      </c>
      <c r="K81" t="s">
        <v>1027</v>
      </c>
    </row>
    <row r="82" spans="1:13" x14ac:dyDescent="0.25">
      <c r="A82" t="s">
        <v>1023</v>
      </c>
      <c r="B82" s="123">
        <v>250</v>
      </c>
      <c r="C82" s="123">
        <v>5</v>
      </c>
      <c r="D82" s="123">
        <v>5</v>
      </c>
      <c r="E82" s="123">
        <v>4</v>
      </c>
      <c r="F82" s="304" t="s">
        <v>26</v>
      </c>
      <c r="G82" s="123">
        <v>9</v>
      </c>
      <c r="H82" t="s">
        <v>1031</v>
      </c>
      <c r="I82" t="str">
        <f t="shared" si="0"/>
        <v>PUMP UP THE CROWD</v>
      </c>
      <c r="J82" t="s">
        <v>1032</v>
      </c>
      <c r="K82" t="s">
        <v>176</v>
      </c>
    </row>
    <row r="83" spans="1:13" x14ac:dyDescent="0.25">
      <c r="A83" t="s">
        <v>509</v>
      </c>
      <c r="B83" s="123">
        <v>150</v>
      </c>
      <c r="C83" s="123">
        <v>6</v>
      </c>
      <c r="D83" s="123">
        <v>3</v>
      </c>
      <c r="E83" s="123">
        <v>4</v>
      </c>
      <c r="F83" s="123">
        <v>4</v>
      </c>
      <c r="G83" s="123">
        <v>9</v>
      </c>
      <c r="H83" t="s">
        <v>796</v>
      </c>
      <c r="I83" t="str">
        <f t="shared" si="0"/>
        <v>STRONG PASSING GAME</v>
      </c>
      <c r="J83" t="s">
        <v>612</v>
      </c>
      <c r="K83" t="s">
        <v>1066</v>
      </c>
    </row>
    <row r="84" spans="1:13" x14ac:dyDescent="0.25">
      <c r="A84" t="s">
        <v>518</v>
      </c>
      <c r="B84" s="123">
        <v>170</v>
      </c>
      <c r="C84" s="123">
        <v>7</v>
      </c>
      <c r="D84" s="123">
        <v>3</v>
      </c>
      <c r="E84" s="123">
        <v>2</v>
      </c>
      <c r="F84" s="123">
        <v>5</v>
      </c>
      <c r="G84" s="123">
        <v>9</v>
      </c>
      <c r="H84" t="s">
        <v>797</v>
      </c>
      <c r="I84" t="str">
        <f t="shared" si="0"/>
        <v>TWO FOR ONE (1)</v>
      </c>
      <c r="J84" t="s">
        <v>613</v>
      </c>
      <c r="K84" t="s">
        <v>174</v>
      </c>
    </row>
    <row r="85" spans="1:13" x14ac:dyDescent="0.25">
      <c r="A85" t="s">
        <v>519</v>
      </c>
      <c r="B85" s="123">
        <v>170</v>
      </c>
      <c r="C85" s="123">
        <v>7</v>
      </c>
      <c r="D85" s="123">
        <v>3</v>
      </c>
      <c r="E85" s="123">
        <v>2</v>
      </c>
      <c r="F85" s="123">
        <v>2</v>
      </c>
      <c r="G85" s="123">
        <v>8</v>
      </c>
      <c r="H85" t="s">
        <v>798</v>
      </c>
      <c r="I85" t="str">
        <f t="shared" si="0"/>
        <v>TWO FOR ONE (2)</v>
      </c>
      <c r="J85" t="s">
        <v>614</v>
      </c>
      <c r="K85" t="s">
        <v>174</v>
      </c>
    </row>
    <row r="86" spans="1:13" x14ac:dyDescent="0.25">
      <c r="A86" t="s">
        <v>495</v>
      </c>
      <c r="B86" s="123">
        <v>225</v>
      </c>
      <c r="C86" s="123">
        <v>6</v>
      </c>
      <c r="D86" s="123">
        <v>2</v>
      </c>
      <c r="E86" s="123">
        <v>3</v>
      </c>
      <c r="F86" s="123">
        <v>3</v>
      </c>
      <c r="G86" s="123">
        <v>9</v>
      </c>
      <c r="H86" t="s">
        <v>799</v>
      </c>
      <c r="I86" t="str">
        <f t="shared" si="0"/>
        <v>SNEAKIEST OF THE LOT</v>
      </c>
      <c r="J86" t="s">
        <v>711</v>
      </c>
      <c r="K86" t="s">
        <v>514</v>
      </c>
    </row>
    <row r="87" spans="1:13" x14ac:dyDescent="0.25">
      <c r="A87" t="s">
        <v>1033</v>
      </c>
      <c r="B87" s="123">
        <v>170</v>
      </c>
      <c r="C87" s="123">
        <v>6</v>
      </c>
      <c r="D87" s="123">
        <v>3</v>
      </c>
      <c r="E87" s="123">
        <v>4</v>
      </c>
      <c r="F87" s="123">
        <v>3</v>
      </c>
      <c r="G87" s="123">
        <v>8</v>
      </c>
      <c r="H87" t="s">
        <v>1034</v>
      </c>
      <c r="I87" t="str">
        <f t="shared" si="0"/>
        <v>BEER BARREL BASH!</v>
      </c>
      <c r="J87" t="s">
        <v>1068</v>
      </c>
      <c r="K87" t="s">
        <v>176</v>
      </c>
    </row>
    <row r="88" spans="1:13" x14ac:dyDescent="0.25">
      <c r="A88" t="s">
        <v>510</v>
      </c>
      <c r="B88" s="123">
        <v>280</v>
      </c>
      <c r="C88" s="123">
        <v>6</v>
      </c>
      <c r="D88" s="123">
        <v>5</v>
      </c>
      <c r="E88" s="123">
        <v>3</v>
      </c>
      <c r="F88" s="123">
        <v>5</v>
      </c>
      <c r="G88" s="123">
        <v>10</v>
      </c>
      <c r="H88" t="s">
        <v>800</v>
      </c>
      <c r="I88" t="str">
        <f t="shared" si="0"/>
        <v>CRUSHING BLOW</v>
      </c>
      <c r="J88" t="s">
        <v>712</v>
      </c>
      <c r="K88" t="s">
        <v>514</v>
      </c>
    </row>
    <row r="89" spans="1:13" x14ac:dyDescent="0.25">
      <c r="A89" t="s">
        <v>693</v>
      </c>
      <c r="B89" s="123">
        <v>220</v>
      </c>
      <c r="C89" s="123">
        <v>8</v>
      </c>
      <c r="D89" s="123">
        <v>4</v>
      </c>
      <c r="E89" s="123">
        <v>3</v>
      </c>
      <c r="F89" s="123">
        <v>4</v>
      </c>
      <c r="G89" s="123">
        <v>9</v>
      </c>
      <c r="H89" t="s">
        <v>801</v>
      </c>
      <c r="I89" t="str">
        <f t="shared" si="0"/>
        <v>SAVAGE MAULING</v>
      </c>
      <c r="J89" t="s">
        <v>694</v>
      </c>
      <c r="K89" t="s">
        <v>180</v>
      </c>
      <c r="L89" t="str">
        <f>"Hiring this Star costs "&amp;M89&amp;" Primary Skills."</f>
        <v>Hiring this Star costs 1 Primary Skills.</v>
      </c>
      <c r="M89">
        <v>1</v>
      </c>
    </row>
    <row r="90" spans="1:13" x14ac:dyDescent="0.25">
      <c r="A90" t="s">
        <v>512</v>
      </c>
      <c r="B90" s="123">
        <v>150</v>
      </c>
      <c r="C90" s="123">
        <v>5</v>
      </c>
      <c r="D90" s="123">
        <v>4</v>
      </c>
      <c r="E90" s="123">
        <v>3</v>
      </c>
      <c r="F90" s="123">
        <v>6</v>
      </c>
      <c r="G90" s="123">
        <v>9</v>
      </c>
      <c r="H90" t="s">
        <v>802</v>
      </c>
      <c r="I90" t="str">
        <f t="shared" si="0"/>
        <v>INDOMITABLE</v>
      </c>
      <c r="J90" t="s">
        <v>615</v>
      </c>
      <c r="K90" t="s">
        <v>174</v>
      </c>
    </row>
    <row r="91" spans="1:13" x14ac:dyDescent="0.25">
      <c r="A91" t="s">
        <v>513</v>
      </c>
      <c r="B91" s="123">
        <v>230</v>
      </c>
      <c r="C91" s="123">
        <v>5</v>
      </c>
      <c r="D91" s="123">
        <v>5</v>
      </c>
      <c r="E91" s="123">
        <v>4</v>
      </c>
      <c r="F91" s="123">
        <v>5</v>
      </c>
      <c r="G91" s="123">
        <v>10</v>
      </c>
      <c r="H91" t="s">
        <v>1035</v>
      </c>
      <c r="I91" t="str">
        <f t="shared" si="0"/>
        <v>"EXCUSE ME, ARE YOU A ZOAT?"</v>
      </c>
      <c r="J91" t="s">
        <v>616</v>
      </c>
      <c r="K91" t="s">
        <v>1067</v>
      </c>
    </row>
    <row r="129" spans="1:1" x14ac:dyDescent="0.25">
      <c r="A129" s="4"/>
    </row>
    <row r="156" spans="1:1" x14ac:dyDescent="0.25">
      <c r="A156" s="4"/>
    </row>
    <row r="164" spans="1:1" x14ac:dyDescent="0.25">
      <c r="A164" s="4"/>
    </row>
    <row r="168" spans="1:1" x14ac:dyDescent="0.25">
      <c r="A168" s="4"/>
    </row>
  </sheetData>
  <sortState xmlns:xlrd2="http://schemas.microsoft.com/office/spreadsheetml/2017/richdata2" ref="Q3:Q20">
    <sortCondition ref="Q3:Q20"/>
  </sortState>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9"/>
  <dimension ref="B1:N51"/>
  <sheetViews>
    <sheetView workbookViewId="0"/>
  </sheetViews>
  <sheetFormatPr defaultColWidth="11.42578125" defaultRowHeight="15" x14ac:dyDescent="0.25"/>
  <cols>
    <col min="2" max="2" width="18.5703125" bestFit="1" customWidth="1"/>
    <col min="4" max="7" width="11.42578125" style="229"/>
    <col min="8" max="8" width="15" style="229" bestFit="1" customWidth="1"/>
    <col min="9" max="9" width="11.42578125" style="229"/>
    <col min="11" max="11" width="16.140625" customWidth="1"/>
    <col min="13" max="13" width="24" bestFit="1" customWidth="1"/>
  </cols>
  <sheetData>
    <row r="1" spans="2:14" x14ac:dyDescent="0.25">
      <c r="B1" s="175" t="s">
        <v>841</v>
      </c>
      <c r="C1" s="175" t="s">
        <v>950</v>
      </c>
      <c r="D1" s="228" t="s">
        <v>203</v>
      </c>
      <c r="E1" s="228" t="s">
        <v>202</v>
      </c>
      <c r="F1" s="228" t="s">
        <v>205</v>
      </c>
      <c r="G1" s="228" t="s">
        <v>677</v>
      </c>
      <c r="H1" s="228" t="s">
        <v>901</v>
      </c>
      <c r="I1" s="228" t="s">
        <v>521</v>
      </c>
    </row>
    <row r="2" spans="2:14" x14ac:dyDescent="0.25">
      <c r="B2" t="s">
        <v>93</v>
      </c>
      <c r="C2" t="s">
        <v>118</v>
      </c>
      <c r="D2" s="229">
        <v>4</v>
      </c>
      <c r="E2" s="229">
        <v>0</v>
      </c>
      <c r="F2" s="229">
        <v>60</v>
      </c>
      <c r="G2" s="229" t="s">
        <v>678</v>
      </c>
      <c r="H2" s="229" t="s">
        <v>179</v>
      </c>
      <c r="I2" s="229">
        <v>2</v>
      </c>
      <c r="L2" t="s">
        <v>183</v>
      </c>
      <c r="M2" t="s">
        <v>182</v>
      </c>
      <c r="N2" t="s">
        <v>940</v>
      </c>
    </row>
    <row r="3" spans="2:14" x14ac:dyDescent="0.25">
      <c r="B3" t="s">
        <v>92</v>
      </c>
      <c r="C3" t="s">
        <v>125</v>
      </c>
      <c r="D3" s="229">
        <v>3</v>
      </c>
      <c r="E3" s="229">
        <v>0</v>
      </c>
      <c r="F3" s="229">
        <v>60</v>
      </c>
      <c r="G3" s="229" t="s">
        <v>678</v>
      </c>
      <c r="H3" s="229" t="s">
        <v>1044</v>
      </c>
      <c r="I3" s="229">
        <v>3</v>
      </c>
      <c r="L3" t="s">
        <v>173</v>
      </c>
      <c r="M3" t="s">
        <v>168</v>
      </c>
    </row>
    <row r="4" spans="2:14" x14ac:dyDescent="0.25">
      <c r="B4" t="s">
        <v>94</v>
      </c>
      <c r="C4" t="s">
        <v>126</v>
      </c>
      <c r="D4" s="229">
        <v>5</v>
      </c>
      <c r="E4" s="229">
        <v>1</v>
      </c>
      <c r="F4" s="229">
        <v>60</v>
      </c>
      <c r="G4" s="229" t="s">
        <v>678</v>
      </c>
      <c r="H4" s="229" t="s">
        <v>185</v>
      </c>
      <c r="I4" s="229">
        <v>3</v>
      </c>
      <c r="L4" t="s">
        <v>174</v>
      </c>
      <c r="M4" t="s">
        <v>178</v>
      </c>
    </row>
    <row r="5" spans="2:14" x14ac:dyDescent="0.25">
      <c r="B5" t="s">
        <v>95</v>
      </c>
      <c r="C5" t="s">
        <v>119</v>
      </c>
      <c r="D5" s="229">
        <v>4</v>
      </c>
      <c r="E5" s="229">
        <v>0</v>
      </c>
      <c r="F5" s="229">
        <v>70</v>
      </c>
      <c r="G5" s="229" t="s">
        <v>678</v>
      </c>
      <c r="H5" s="229" t="s">
        <v>671</v>
      </c>
      <c r="I5" s="229">
        <v>1</v>
      </c>
      <c r="L5" t="s">
        <v>175</v>
      </c>
      <c r="M5" t="s">
        <v>169</v>
      </c>
      <c r="N5" t="s">
        <v>618</v>
      </c>
    </row>
    <row r="6" spans="2:14" x14ac:dyDescent="0.25">
      <c r="B6" t="s">
        <v>96</v>
      </c>
      <c r="C6" t="s">
        <v>127</v>
      </c>
      <c r="D6" s="229">
        <v>10</v>
      </c>
      <c r="E6" s="229">
        <v>3</v>
      </c>
      <c r="F6" s="229">
        <v>70</v>
      </c>
      <c r="G6" s="229" t="s">
        <v>678</v>
      </c>
      <c r="H6" s="229" t="s">
        <v>185</v>
      </c>
      <c r="I6" s="229">
        <v>4</v>
      </c>
      <c r="L6" t="s">
        <v>187</v>
      </c>
      <c r="M6" t="s">
        <v>188</v>
      </c>
      <c r="N6" t="s">
        <v>941</v>
      </c>
    </row>
    <row r="7" spans="2:14" x14ac:dyDescent="0.25">
      <c r="B7" t="s">
        <v>97</v>
      </c>
      <c r="C7" t="s">
        <v>128</v>
      </c>
      <c r="D7" s="229">
        <v>5</v>
      </c>
      <c r="E7" s="229">
        <v>0</v>
      </c>
      <c r="F7" s="229">
        <v>50</v>
      </c>
      <c r="G7" s="229" t="s">
        <v>678</v>
      </c>
      <c r="H7" s="229" t="s">
        <v>174</v>
      </c>
      <c r="I7" s="229">
        <v>1</v>
      </c>
      <c r="L7" t="s">
        <v>179</v>
      </c>
      <c r="M7" t="s">
        <v>170</v>
      </c>
    </row>
    <row r="8" spans="2:14" x14ac:dyDescent="0.25">
      <c r="B8" t="s">
        <v>98</v>
      </c>
      <c r="C8" t="s">
        <v>134</v>
      </c>
      <c r="D8" s="229">
        <v>5</v>
      </c>
      <c r="E8" s="229">
        <v>0</v>
      </c>
      <c r="F8" s="229">
        <v>50</v>
      </c>
      <c r="G8" s="229" t="s">
        <v>678</v>
      </c>
      <c r="H8" s="229" t="s">
        <v>515</v>
      </c>
      <c r="I8" s="229">
        <v>1</v>
      </c>
      <c r="L8" t="s">
        <v>186</v>
      </c>
      <c r="M8" t="s">
        <v>1069</v>
      </c>
      <c r="N8" t="s">
        <v>617</v>
      </c>
    </row>
    <row r="9" spans="2:14" x14ac:dyDescent="0.25">
      <c r="B9" t="s">
        <v>99</v>
      </c>
      <c r="C9" t="s">
        <v>129</v>
      </c>
      <c r="D9" s="229">
        <v>4</v>
      </c>
      <c r="E9" s="229">
        <v>0</v>
      </c>
      <c r="F9" s="229">
        <v>50</v>
      </c>
      <c r="G9" s="229" t="s">
        <v>678</v>
      </c>
      <c r="H9" s="229" t="s">
        <v>174</v>
      </c>
      <c r="I9" s="229">
        <v>2</v>
      </c>
      <c r="L9" t="s">
        <v>176</v>
      </c>
      <c r="M9" t="s">
        <v>167</v>
      </c>
    </row>
    <row r="10" spans="2:14" x14ac:dyDescent="0.25">
      <c r="B10" t="s">
        <v>100</v>
      </c>
      <c r="C10" t="s">
        <v>135</v>
      </c>
      <c r="D10" s="229">
        <v>8</v>
      </c>
      <c r="E10" s="229">
        <v>0</v>
      </c>
      <c r="F10" s="229">
        <v>60</v>
      </c>
      <c r="G10" s="229" t="s">
        <v>678</v>
      </c>
      <c r="H10" s="229" t="s">
        <v>1045</v>
      </c>
      <c r="I10" s="229">
        <v>5</v>
      </c>
      <c r="L10" t="s">
        <v>180</v>
      </c>
      <c r="M10" t="s">
        <v>171</v>
      </c>
      <c r="N10" t="s">
        <v>820</v>
      </c>
    </row>
    <row r="11" spans="2:14" x14ac:dyDescent="0.25">
      <c r="B11" t="s">
        <v>702</v>
      </c>
      <c r="C11" t="s">
        <v>136</v>
      </c>
      <c r="D11" s="229">
        <v>4</v>
      </c>
      <c r="E11" s="229">
        <v>0</v>
      </c>
      <c r="F11" s="229">
        <v>60</v>
      </c>
      <c r="G11" s="229" t="s">
        <v>678</v>
      </c>
      <c r="H11" s="229" t="s">
        <v>1043</v>
      </c>
      <c r="I11" s="229">
        <v>5</v>
      </c>
      <c r="L11" t="s">
        <v>181</v>
      </c>
      <c r="M11" t="s">
        <v>189</v>
      </c>
    </row>
    <row r="12" spans="2:14" x14ac:dyDescent="0.25">
      <c r="B12" t="s">
        <v>101</v>
      </c>
      <c r="C12" t="s">
        <v>120</v>
      </c>
      <c r="D12" s="229">
        <v>4</v>
      </c>
      <c r="E12" s="229">
        <v>0</v>
      </c>
      <c r="F12" s="229">
        <v>50</v>
      </c>
      <c r="G12" s="229" t="s">
        <v>678</v>
      </c>
      <c r="H12" s="229" t="s">
        <v>174</v>
      </c>
      <c r="I12" s="229">
        <v>2</v>
      </c>
      <c r="L12" t="s">
        <v>177</v>
      </c>
      <c r="M12" t="s">
        <v>172</v>
      </c>
    </row>
    <row r="13" spans="2:14" x14ac:dyDescent="0.25">
      <c r="B13" t="s">
        <v>102</v>
      </c>
      <c r="C13" t="s">
        <v>137</v>
      </c>
      <c r="D13" s="229">
        <v>6</v>
      </c>
      <c r="E13" s="229">
        <v>0</v>
      </c>
      <c r="F13" s="229">
        <v>50</v>
      </c>
      <c r="G13" s="229" t="s">
        <v>678</v>
      </c>
      <c r="H13" s="229" t="s">
        <v>176</v>
      </c>
      <c r="I13" s="229">
        <v>1</v>
      </c>
      <c r="L13" t="s">
        <v>185</v>
      </c>
      <c r="M13" t="s">
        <v>184</v>
      </c>
    </row>
    <row r="14" spans="2:14" x14ac:dyDescent="0.25">
      <c r="B14" t="s">
        <v>103</v>
      </c>
      <c r="C14" t="s">
        <v>130</v>
      </c>
      <c r="D14" s="229">
        <v>5</v>
      </c>
      <c r="E14" s="229">
        <v>0</v>
      </c>
      <c r="F14" s="229">
        <v>70</v>
      </c>
      <c r="G14" s="229" t="s">
        <v>678</v>
      </c>
      <c r="H14" s="229" t="s">
        <v>176</v>
      </c>
      <c r="I14" s="229">
        <v>3</v>
      </c>
    </row>
    <row r="15" spans="2:14" x14ac:dyDescent="0.25">
      <c r="B15" t="s">
        <v>827</v>
      </c>
      <c r="C15" t="s">
        <v>121</v>
      </c>
      <c r="D15" s="229">
        <v>4</v>
      </c>
      <c r="E15" s="229">
        <v>1</v>
      </c>
      <c r="F15" s="229">
        <v>60</v>
      </c>
      <c r="G15" s="229" t="s">
        <v>678</v>
      </c>
      <c r="H15" s="229" t="s">
        <v>1029</v>
      </c>
      <c r="I15" s="229">
        <v>3</v>
      </c>
      <c r="L15" t="s">
        <v>1028</v>
      </c>
      <c r="M15" t="s">
        <v>190</v>
      </c>
    </row>
    <row r="16" spans="2:14" x14ac:dyDescent="0.25">
      <c r="B16" t="s">
        <v>104</v>
      </c>
      <c r="C16" t="s">
        <v>138</v>
      </c>
      <c r="D16" s="229">
        <v>4</v>
      </c>
      <c r="E16" s="229">
        <v>0</v>
      </c>
      <c r="F16" s="229">
        <v>70</v>
      </c>
      <c r="G16" s="229" t="s">
        <v>678</v>
      </c>
      <c r="H16" s="229" t="s">
        <v>179</v>
      </c>
      <c r="I16" s="229">
        <v>1</v>
      </c>
      <c r="L16" t="s">
        <v>1027</v>
      </c>
      <c r="M16" t="s">
        <v>191</v>
      </c>
    </row>
    <row r="17" spans="2:14" x14ac:dyDescent="0.25">
      <c r="B17" t="s">
        <v>105</v>
      </c>
      <c r="C17" t="s">
        <v>131</v>
      </c>
      <c r="D17" s="229">
        <v>5</v>
      </c>
      <c r="E17" s="229">
        <v>0</v>
      </c>
      <c r="F17" s="229">
        <v>70</v>
      </c>
      <c r="G17" s="229" t="s">
        <v>679</v>
      </c>
      <c r="H17" s="229" t="s">
        <v>619</v>
      </c>
      <c r="I17" s="229">
        <v>2</v>
      </c>
      <c r="L17" t="s">
        <v>1026</v>
      </c>
      <c r="M17" t="s">
        <v>192</v>
      </c>
      <c r="N17" t="s">
        <v>939</v>
      </c>
    </row>
    <row r="18" spans="2:14" x14ac:dyDescent="0.25">
      <c r="B18" t="s">
        <v>108</v>
      </c>
      <c r="C18" t="s">
        <v>122</v>
      </c>
      <c r="D18" s="229">
        <v>6</v>
      </c>
      <c r="E18" s="229">
        <v>0</v>
      </c>
      <c r="F18" s="229">
        <v>60</v>
      </c>
      <c r="G18" s="229" t="s">
        <v>678</v>
      </c>
      <c r="H18" s="229" t="s">
        <v>1041</v>
      </c>
      <c r="I18" s="229">
        <v>2</v>
      </c>
      <c r="L18" t="s">
        <v>196</v>
      </c>
      <c r="M18" t="s">
        <v>195</v>
      </c>
    </row>
    <row r="19" spans="2:14" x14ac:dyDescent="0.25">
      <c r="B19" t="s">
        <v>106</v>
      </c>
      <c r="C19" t="s">
        <v>139</v>
      </c>
      <c r="D19" s="229">
        <v>4</v>
      </c>
      <c r="E19" s="229">
        <v>0</v>
      </c>
      <c r="F19" s="229">
        <v>70</v>
      </c>
      <c r="G19" s="229" t="s">
        <v>679</v>
      </c>
      <c r="H19" s="229" t="s">
        <v>1030</v>
      </c>
      <c r="I19" s="229">
        <v>3</v>
      </c>
      <c r="L19" t="s">
        <v>194</v>
      </c>
      <c r="M19" t="s">
        <v>193</v>
      </c>
    </row>
    <row r="20" spans="2:14" x14ac:dyDescent="0.25">
      <c r="B20" t="s">
        <v>107</v>
      </c>
      <c r="C20" t="s">
        <v>140</v>
      </c>
      <c r="D20" s="229">
        <v>3</v>
      </c>
      <c r="E20" s="229">
        <v>0</v>
      </c>
      <c r="F20" s="229">
        <v>70</v>
      </c>
      <c r="G20" s="229" t="s">
        <v>678</v>
      </c>
      <c r="H20" s="229" t="s">
        <v>620</v>
      </c>
      <c r="I20" s="229">
        <v>5</v>
      </c>
    </row>
    <row r="21" spans="2:14" x14ac:dyDescent="0.25">
      <c r="B21" t="s">
        <v>109</v>
      </c>
      <c r="C21" t="s">
        <v>141</v>
      </c>
      <c r="D21" s="229">
        <v>11</v>
      </c>
      <c r="E21" s="229">
        <v>1</v>
      </c>
      <c r="F21" s="229">
        <v>70</v>
      </c>
      <c r="G21" s="229" t="s">
        <v>678</v>
      </c>
      <c r="H21" s="229" t="s">
        <v>176</v>
      </c>
      <c r="I21" s="229">
        <v>4</v>
      </c>
    </row>
    <row r="22" spans="2:14" x14ac:dyDescent="0.25">
      <c r="B22" t="s">
        <v>110</v>
      </c>
      <c r="C22" t="s">
        <v>142</v>
      </c>
      <c r="D22" s="229">
        <v>6</v>
      </c>
      <c r="E22" s="229">
        <v>0</v>
      </c>
      <c r="F22" s="229">
        <v>60</v>
      </c>
      <c r="G22" s="229" t="s">
        <v>678</v>
      </c>
      <c r="H22" s="229" t="s">
        <v>173</v>
      </c>
      <c r="I22" s="229">
        <v>1</v>
      </c>
    </row>
    <row r="23" spans="2:14" x14ac:dyDescent="0.25">
      <c r="B23" t="s">
        <v>113</v>
      </c>
      <c r="C23" t="s">
        <v>132</v>
      </c>
      <c r="D23" s="229">
        <v>5</v>
      </c>
      <c r="E23" s="229">
        <v>0</v>
      </c>
      <c r="F23" s="229">
        <v>70</v>
      </c>
      <c r="G23" s="229" t="s">
        <v>679</v>
      </c>
      <c r="H23" s="229" t="s">
        <v>619</v>
      </c>
      <c r="I23" s="229">
        <v>1</v>
      </c>
    </row>
    <row r="24" spans="2:14" x14ac:dyDescent="0.25">
      <c r="B24" t="s">
        <v>114</v>
      </c>
      <c r="C24" t="s">
        <v>143</v>
      </c>
      <c r="D24" s="229">
        <v>5</v>
      </c>
      <c r="E24" s="229">
        <v>0</v>
      </c>
      <c r="F24" s="229">
        <v>50</v>
      </c>
      <c r="G24" s="229" t="s">
        <v>678</v>
      </c>
      <c r="H24" s="229" t="s">
        <v>181</v>
      </c>
      <c r="I24" s="229">
        <v>2</v>
      </c>
    </row>
    <row r="25" spans="2:14" x14ac:dyDescent="0.25">
      <c r="B25" t="s">
        <v>111</v>
      </c>
      <c r="C25" t="s">
        <v>123</v>
      </c>
      <c r="D25" s="229">
        <v>4</v>
      </c>
      <c r="E25" s="229">
        <v>0</v>
      </c>
      <c r="F25" s="229">
        <v>50</v>
      </c>
      <c r="G25" s="229" t="s">
        <v>678</v>
      </c>
      <c r="H25" s="229" t="s">
        <v>179</v>
      </c>
      <c r="I25" s="229">
        <v>2</v>
      </c>
    </row>
    <row r="26" spans="2:14" x14ac:dyDescent="0.25">
      <c r="B26" t="s">
        <v>115</v>
      </c>
      <c r="C26" t="s">
        <v>144</v>
      </c>
      <c r="D26" s="229">
        <v>6</v>
      </c>
      <c r="E26" s="229">
        <v>0</v>
      </c>
      <c r="F26" s="229">
        <v>60</v>
      </c>
      <c r="G26" s="229" t="s">
        <v>678</v>
      </c>
      <c r="H26" s="229" t="s">
        <v>1055</v>
      </c>
      <c r="I26" s="229">
        <v>5</v>
      </c>
    </row>
    <row r="27" spans="2:14" x14ac:dyDescent="0.25">
      <c r="B27" t="s">
        <v>825</v>
      </c>
      <c r="C27" t="s">
        <v>826</v>
      </c>
      <c r="D27" s="229">
        <v>4</v>
      </c>
      <c r="E27" s="229">
        <v>0</v>
      </c>
      <c r="F27" s="229">
        <v>70</v>
      </c>
      <c r="G27" s="229" t="s">
        <v>679</v>
      </c>
      <c r="H27" s="229" t="s">
        <v>180</v>
      </c>
      <c r="I27" s="229">
        <v>3</v>
      </c>
    </row>
    <row r="28" spans="2:14" x14ac:dyDescent="0.25">
      <c r="B28" t="s">
        <v>116</v>
      </c>
      <c r="C28" t="s">
        <v>415</v>
      </c>
      <c r="D28" s="229">
        <v>8</v>
      </c>
      <c r="E28" s="229">
        <v>1</v>
      </c>
      <c r="F28" s="229">
        <v>70</v>
      </c>
      <c r="G28" s="229" t="s">
        <v>678</v>
      </c>
      <c r="H28" s="229" t="s">
        <v>622</v>
      </c>
      <c r="I28" s="229">
        <v>2</v>
      </c>
    </row>
    <row r="29" spans="2:14" x14ac:dyDescent="0.25">
      <c r="B29" t="s">
        <v>112</v>
      </c>
      <c r="C29" t="s">
        <v>124</v>
      </c>
      <c r="D29" s="229">
        <v>2</v>
      </c>
      <c r="E29" s="229">
        <v>0</v>
      </c>
      <c r="F29" s="229">
        <v>70</v>
      </c>
      <c r="G29" s="229" t="s">
        <v>678</v>
      </c>
      <c r="H29" s="229" t="s">
        <v>180</v>
      </c>
      <c r="I29" s="229">
        <v>4</v>
      </c>
    </row>
    <row r="30" spans="2:14" x14ac:dyDescent="0.25">
      <c r="B30" t="s">
        <v>117</v>
      </c>
      <c r="C30" t="s">
        <v>133</v>
      </c>
      <c r="D30" s="229">
        <v>5</v>
      </c>
      <c r="E30" s="229">
        <v>0</v>
      </c>
      <c r="F30" s="229">
        <v>50</v>
      </c>
      <c r="G30" s="229" t="s">
        <v>678</v>
      </c>
      <c r="H30" s="229" t="s">
        <v>174</v>
      </c>
      <c r="I30" s="229">
        <v>1</v>
      </c>
    </row>
    <row r="31" spans="2:14" ht="45" x14ac:dyDescent="0.25">
      <c r="L31" s="295" t="s">
        <v>621</v>
      </c>
      <c r="M31" s="1" t="s">
        <v>1056</v>
      </c>
    </row>
    <row r="32" spans="2:14" ht="30" x14ac:dyDescent="0.25">
      <c r="L32" s="295" t="s">
        <v>622</v>
      </c>
      <c r="M32" s="1" t="s">
        <v>1057</v>
      </c>
    </row>
    <row r="33" spans="8:13" x14ac:dyDescent="0.25">
      <c r="L33" s="295" t="s">
        <v>173</v>
      </c>
      <c r="M33" t="s">
        <v>168</v>
      </c>
    </row>
    <row r="34" spans="8:13" ht="30" x14ac:dyDescent="0.25">
      <c r="L34" s="295" t="s">
        <v>1044</v>
      </c>
      <c r="M34" s="1" t="s">
        <v>1046</v>
      </c>
    </row>
    <row r="35" spans="8:13" ht="45" x14ac:dyDescent="0.25">
      <c r="L35" s="295" t="s">
        <v>1055</v>
      </c>
      <c r="M35" s="1" t="s">
        <v>1047</v>
      </c>
    </row>
    <row r="36" spans="8:13" ht="60" x14ac:dyDescent="0.25">
      <c r="L36" s="295" t="s">
        <v>1045</v>
      </c>
      <c r="M36" s="1" t="s">
        <v>1058</v>
      </c>
    </row>
    <row r="37" spans="8:13" ht="45" x14ac:dyDescent="0.25">
      <c r="L37" s="295" t="s">
        <v>671</v>
      </c>
      <c r="M37" s="1" t="s">
        <v>935</v>
      </c>
    </row>
    <row r="38" spans="8:13" ht="45" x14ac:dyDescent="0.25">
      <c r="H38"/>
      <c r="L38" s="295" t="s">
        <v>620</v>
      </c>
      <c r="M38" s="1" t="s">
        <v>1048</v>
      </c>
    </row>
    <row r="39" spans="8:13" x14ac:dyDescent="0.25">
      <c r="L39" s="295" t="s">
        <v>174</v>
      </c>
      <c r="M39" t="s">
        <v>178</v>
      </c>
    </row>
    <row r="40" spans="8:13" x14ac:dyDescent="0.25">
      <c r="H40"/>
      <c r="L40" s="295" t="s">
        <v>185</v>
      </c>
      <c r="M40" t="s">
        <v>184</v>
      </c>
    </row>
    <row r="41" spans="8:13" x14ac:dyDescent="0.25">
      <c r="H41"/>
      <c r="L41" s="295" t="s">
        <v>1030</v>
      </c>
      <c r="M41" t="s">
        <v>936</v>
      </c>
    </row>
    <row r="42" spans="8:13" x14ac:dyDescent="0.25">
      <c r="L42" s="295" t="s">
        <v>1029</v>
      </c>
      <c r="M42" t="s">
        <v>1039</v>
      </c>
    </row>
    <row r="43" spans="8:13" x14ac:dyDescent="0.25">
      <c r="L43" s="295" t="s">
        <v>179</v>
      </c>
      <c r="M43" t="s">
        <v>170</v>
      </c>
    </row>
    <row r="44" spans="8:13" ht="30" x14ac:dyDescent="0.25">
      <c r="L44" s="295" t="s">
        <v>619</v>
      </c>
      <c r="M44" s="1" t="s">
        <v>937</v>
      </c>
    </row>
    <row r="45" spans="8:13" x14ac:dyDescent="0.25">
      <c r="L45" s="295" t="s">
        <v>176</v>
      </c>
      <c r="M45" t="s">
        <v>167</v>
      </c>
    </row>
    <row r="46" spans="8:13" ht="30" x14ac:dyDescent="0.25">
      <c r="H46"/>
      <c r="L46" s="295" t="s">
        <v>1043</v>
      </c>
      <c r="M46" s="1" t="s">
        <v>1049</v>
      </c>
    </row>
    <row r="47" spans="8:13" ht="30" x14ac:dyDescent="0.25">
      <c r="L47" s="295" t="s">
        <v>1041</v>
      </c>
      <c r="M47" s="1" t="s">
        <v>1040</v>
      </c>
    </row>
    <row r="48" spans="8:13" ht="30" x14ac:dyDescent="0.25">
      <c r="H48"/>
      <c r="L48" s="295" t="s">
        <v>515</v>
      </c>
      <c r="M48" s="1" t="s">
        <v>938</v>
      </c>
    </row>
    <row r="49" spans="8:13" x14ac:dyDescent="0.25">
      <c r="H49"/>
      <c r="L49" s="295" t="s">
        <v>180</v>
      </c>
      <c r="M49" t="s">
        <v>171</v>
      </c>
    </row>
    <row r="50" spans="8:13" x14ac:dyDescent="0.25">
      <c r="L50" s="295" t="s">
        <v>181</v>
      </c>
      <c r="M50" t="s">
        <v>189</v>
      </c>
    </row>
    <row r="51" spans="8:13" ht="30" x14ac:dyDescent="0.25">
      <c r="L51" s="295" t="s">
        <v>1042</v>
      </c>
      <c r="M51" s="1" t="s">
        <v>1050</v>
      </c>
    </row>
  </sheetData>
  <sortState xmlns:xlrd2="http://schemas.microsoft.com/office/spreadsheetml/2017/richdata2" ref="B2:I30">
    <sortCondition ref="B2:B30"/>
  </sortState>
  <pageMargins left="0.7" right="0.7" top="0.78740157499999996" bottom="0.78740157499999996"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0"/>
  <dimension ref="A1:M149"/>
  <sheetViews>
    <sheetView workbookViewId="0"/>
  </sheetViews>
  <sheetFormatPr defaultColWidth="11.42578125" defaultRowHeight="15" x14ac:dyDescent="0.25"/>
  <cols>
    <col min="2" max="2" width="24.28515625" bestFit="1" customWidth="1"/>
    <col min="3" max="3" width="4" bestFit="1" customWidth="1"/>
    <col min="4" max="4" width="3.28515625" bestFit="1" customWidth="1"/>
    <col min="5" max="5" width="4" bestFit="1" customWidth="1"/>
    <col min="6" max="7" width="2" bestFit="1" customWidth="1"/>
    <col min="8" max="9" width="3" bestFit="1" customWidth="1"/>
    <col min="10" max="10" width="4" bestFit="1" customWidth="1"/>
    <col min="11" max="11" width="116.7109375" bestFit="1" customWidth="1"/>
  </cols>
  <sheetData>
    <row r="1" spans="1:13" x14ac:dyDescent="0.25">
      <c r="A1" t="s">
        <v>438</v>
      </c>
      <c r="B1" t="s">
        <v>995</v>
      </c>
      <c r="C1">
        <v>16</v>
      </c>
      <c r="E1">
        <v>50</v>
      </c>
      <c r="F1">
        <v>6</v>
      </c>
      <c r="G1">
        <v>3</v>
      </c>
      <c r="H1">
        <v>3</v>
      </c>
      <c r="I1">
        <v>4</v>
      </c>
      <c r="J1">
        <v>8</v>
      </c>
      <c r="K1" t="s">
        <v>36</v>
      </c>
      <c r="L1" t="s">
        <v>29</v>
      </c>
      <c r="M1" t="s">
        <v>299</v>
      </c>
    </row>
    <row r="2" spans="1:13" x14ac:dyDescent="0.25">
      <c r="A2" t="s">
        <v>439</v>
      </c>
      <c r="B2" t="s">
        <v>996</v>
      </c>
      <c r="C2">
        <v>2</v>
      </c>
      <c r="E2">
        <v>80</v>
      </c>
      <c r="F2">
        <v>6</v>
      </c>
      <c r="G2">
        <v>3</v>
      </c>
      <c r="H2">
        <v>3</v>
      </c>
      <c r="I2">
        <v>3</v>
      </c>
      <c r="J2">
        <v>8</v>
      </c>
      <c r="K2" t="s">
        <v>1001</v>
      </c>
      <c r="L2" t="s">
        <v>302</v>
      </c>
      <c r="M2" t="s">
        <v>299</v>
      </c>
    </row>
    <row r="3" spans="1:13" x14ac:dyDescent="0.25">
      <c r="A3" t="s">
        <v>440</v>
      </c>
      <c r="B3" t="s">
        <v>997</v>
      </c>
      <c r="C3">
        <v>2</v>
      </c>
      <c r="E3">
        <v>90</v>
      </c>
      <c r="F3">
        <v>7</v>
      </c>
      <c r="G3">
        <v>3</v>
      </c>
      <c r="H3">
        <v>3</v>
      </c>
      <c r="I3">
        <v>5</v>
      </c>
      <c r="J3">
        <v>8</v>
      </c>
      <c r="K3" t="s">
        <v>1000</v>
      </c>
      <c r="L3" t="s">
        <v>7</v>
      </c>
      <c r="M3" t="s">
        <v>32</v>
      </c>
    </row>
    <row r="4" spans="1:13" x14ac:dyDescent="0.25">
      <c r="A4" t="s">
        <v>441</v>
      </c>
      <c r="B4" t="s">
        <v>998</v>
      </c>
      <c r="C4">
        <v>2</v>
      </c>
      <c r="E4">
        <v>110</v>
      </c>
      <c r="F4">
        <v>6</v>
      </c>
      <c r="G4">
        <v>4</v>
      </c>
      <c r="H4">
        <v>3</v>
      </c>
      <c r="I4">
        <v>5</v>
      </c>
      <c r="J4">
        <v>9</v>
      </c>
      <c r="K4" t="s">
        <v>999</v>
      </c>
      <c r="L4" t="s">
        <v>294</v>
      </c>
      <c r="M4" t="s">
        <v>28</v>
      </c>
    </row>
    <row r="5" spans="1:13" x14ac:dyDescent="0.25">
      <c r="A5" t="s">
        <v>209</v>
      </c>
      <c r="B5" t="s">
        <v>212</v>
      </c>
      <c r="C5">
        <v>12</v>
      </c>
      <c r="E5">
        <v>45</v>
      </c>
      <c r="F5">
        <v>6</v>
      </c>
      <c r="G5">
        <v>2</v>
      </c>
      <c r="H5">
        <v>3</v>
      </c>
      <c r="I5">
        <v>4</v>
      </c>
      <c r="J5">
        <v>8</v>
      </c>
      <c r="K5" t="s">
        <v>213</v>
      </c>
      <c r="L5" t="s">
        <v>28</v>
      </c>
      <c r="M5" t="s">
        <v>293</v>
      </c>
    </row>
    <row r="6" spans="1:13" x14ac:dyDescent="0.25">
      <c r="A6" t="s">
        <v>210</v>
      </c>
      <c r="B6" t="s">
        <v>92</v>
      </c>
      <c r="C6">
        <v>6</v>
      </c>
      <c r="E6">
        <v>90</v>
      </c>
      <c r="F6">
        <v>4</v>
      </c>
      <c r="G6">
        <v>4</v>
      </c>
      <c r="H6">
        <v>4</v>
      </c>
      <c r="I6">
        <v>5</v>
      </c>
      <c r="J6">
        <v>10</v>
      </c>
      <c r="K6" t="s">
        <v>214</v>
      </c>
      <c r="L6" t="s">
        <v>294</v>
      </c>
      <c r="M6" t="s">
        <v>295</v>
      </c>
    </row>
    <row r="7" spans="1:13" x14ac:dyDescent="0.25">
      <c r="A7" t="s">
        <v>211</v>
      </c>
      <c r="B7" t="s">
        <v>683</v>
      </c>
      <c r="C7">
        <v>1</v>
      </c>
      <c r="E7">
        <v>115</v>
      </c>
      <c r="F7">
        <v>4</v>
      </c>
      <c r="G7">
        <v>5</v>
      </c>
      <c r="H7">
        <v>5</v>
      </c>
      <c r="I7">
        <v>5</v>
      </c>
      <c r="J7">
        <v>10</v>
      </c>
      <c r="K7" t="s">
        <v>718</v>
      </c>
      <c r="L7" t="s">
        <v>32</v>
      </c>
      <c r="M7" t="s">
        <v>296</v>
      </c>
    </row>
    <row r="8" spans="1:13" x14ac:dyDescent="0.25">
      <c r="A8" t="s">
        <v>216</v>
      </c>
      <c r="B8" t="s">
        <v>221</v>
      </c>
      <c r="C8">
        <v>16</v>
      </c>
      <c r="E8">
        <v>60</v>
      </c>
      <c r="F8">
        <v>6</v>
      </c>
      <c r="G8">
        <v>3</v>
      </c>
      <c r="H8">
        <v>3</v>
      </c>
      <c r="I8">
        <v>4</v>
      </c>
      <c r="J8">
        <v>9</v>
      </c>
      <c r="K8" t="s">
        <v>62</v>
      </c>
      <c r="L8" t="s">
        <v>297</v>
      </c>
      <c r="M8" t="s">
        <v>295</v>
      </c>
    </row>
    <row r="9" spans="1:13" x14ac:dyDescent="0.25">
      <c r="A9" t="s">
        <v>217</v>
      </c>
      <c r="B9" t="s">
        <v>673</v>
      </c>
      <c r="C9">
        <v>4</v>
      </c>
      <c r="E9">
        <v>100</v>
      </c>
      <c r="F9">
        <v>5</v>
      </c>
      <c r="G9">
        <v>4</v>
      </c>
      <c r="H9">
        <v>3</v>
      </c>
      <c r="I9">
        <v>5</v>
      </c>
      <c r="J9">
        <v>10</v>
      </c>
      <c r="K9" t="s">
        <v>166</v>
      </c>
      <c r="L9" t="s">
        <v>297</v>
      </c>
      <c r="M9" t="s">
        <v>28</v>
      </c>
    </row>
    <row r="10" spans="1:13" x14ac:dyDescent="0.25">
      <c r="A10" t="s">
        <v>218</v>
      </c>
      <c r="B10" t="s">
        <v>222</v>
      </c>
      <c r="C10">
        <v>1</v>
      </c>
      <c r="D10" t="s">
        <v>165</v>
      </c>
      <c r="E10">
        <v>115</v>
      </c>
      <c r="F10">
        <v>4</v>
      </c>
      <c r="G10">
        <v>5</v>
      </c>
      <c r="H10">
        <v>5</v>
      </c>
      <c r="I10">
        <v>5</v>
      </c>
      <c r="J10">
        <v>10</v>
      </c>
      <c r="K10" t="s">
        <v>719</v>
      </c>
      <c r="L10" t="s">
        <v>298</v>
      </c>
      <c r="M10" t="s">
        <v>7</v>
      </c>
    </row>
    <row r="11" spans="1:13" x14ac:dyDescent="0.25">
      <c r="A11" t="s">
        <v>219</v>
      </c>
      <c r="B11" t="s">
        <v>223</v>
      </c>
      <c r="C11">
        <v>1</v>
      </c>
      <c r="D11" t="s">
        <v>165</v>
      </c>
      <c r="E11">
        <v>140</v>
      </c>
      <c r="F11">
        <v>5</v>
      </c>
      <c r="G11">
        <v>5</v>
      </c>
      <c r="H11">
        <v>4</v>
      </c>
      <c r="I11">
        <v>5</v>
      </c>
      <c r="J11">
        <v>10</v>
      </c>
      <c r="K11" t="s">
        <v>720</v>
      </c>
      <c r="L11" t="s">
        <v>298</v>
      </c>
      <c r="M11" t="s">
        <v>7</v>
      </c>
    </row>
    <row r="12" spans="1:13" x14ac:dyDescent="0.25">
      <c r="A12" t="s">
        <v>220</v>
      </c>
      <c r="B12" t="s">
        <v>224</v>
      </c>
      <c r="C12">
        <v>1</v>
      </c>
      <c r="D12" t="s">
        <v>165</v>
      </c>
      <c r="E12">
        <v>150</v>
      </c>
      <c r="F12">
        <v>5</v>
      </c>
      <c r="G12">
        <v>5</v>
      </c>
      <c r="H12">
        <v>4</v>
      </c>
      <c r="I12" s="4" t="s">
        <v>26</v>
      </c>
      <c r="J12">
        <v>9</v>
      </c>
      <c r="K12" t="s">
        <v>721</v>
      </c>
      <c r="L12" t="s">
        <v>298</v>
      </c>
      <c r="M12" t="s">
        <v>7</v>
      </c>
    </row>
    <row r="13" spans="1:13" x14ac:dyDescent="0.25">
      <c r="A13" t="s">
        <v>443</v>
      </c>
      <c r="B13" t="s">
        <v>663</v>
      </c>
      <c r="C13">
        <v>16</v>
      </c>
      <c r="E13">
        <v>40</v>
      </c>
      <c r="F13">
        <v>6</v>
      </c>
      <c r="G13">
        <v>3</v>
      </c>
      <c r="H13">
        <v>3</v>
      </c>
      <c r="I13">
        <v>4</v>
      </c>
      <c r="J13">
        <v>8</v>
      </c>
      <c r="K13" t="s">
        <v>166</v>
      </c>
      <c r="L13" t="s">
        <v>29</v>
      </c>
      <c r="M13" t="s">
        <v>299</v>
      </c>
    </row>
    <row r="14" spans="1:13" x14ac:dyDescent="0.25">
      <c r="A14" t="s">
        <v>444</v>
      </c>
      <c r="B14" t="s">
        <v>447</v>
      </c>
      <c r="C14">
        <v>6</v>
      </c>
      <c r="E14">
        <v>70</v>
      </c>
      <c r="F14">
        <v>4</v>
      </c>
      <c r="G14">
        <v>3</v>
      </c>
      <c r="H14">
        <v>4</v>
      </c>
      <c r="I14">
        <v>6</v>
      </c>
      <c r="J14">
        <v>10</v>
      </c>
      <c r="K14" t="s">
        <v>261</v>
      </c>
      <c r="L14" t="s">
        <v>294</v>
      </c>
      <c r="M14" t="s">
        <v>118</v>
      </c>
    </row>
    <row r="15" spans="1:13" x14ac:dyDescent="0.25">
      <c r="A15" t="s">
        <v>445</v>
      </c>
      <c r="B15" t="s">
        <v>672</v>
      </c>
      <c r="C15">
        <v>2</v>
      </c>
      <c r="E15">
        <v>130</v>
      </c>
      <c r="F15">
        <v>6</v>
      </c>
      <c r="G15">
        <v>4</v>
      </c>
      <c r="H15">
        <v>4</v>
      </c>
      <c r="I15">
        <v>6</v>
      </c>
      <c r="J15">
        <v>10</v>
      </c>
      <c r="K15" t="s">
        <v>448</v>
      </c>
      <c r="L15" t="s">
        <v>294</v>
      </c>
      <c r="M15" t="s">
        <v>28</v>
      </c>
    </row>
    <row r="16" spans="1:13" x14ac:dyDescent="0.25">
      <c r="A16" t="s">
        <v>446</v>
      </c>
      <c r="B16" t="s">
        <v>449</v>
      </c>
      <c r="C16">
        <v>1</v>
      </c>
      <c r="E16">
        <v>150</v>
      </c>
      <c r="F16">
        <v>5</v>
      </c>
      <c r="G16">
        <v>5</v>
      </c>
      <c r="H16">
        <v>4</v>
      </c>
      <c r="I16" s="4" t="s">
        <v>26</v>
      </c>
      <c r="J16">
        <v>9</v>
      </c>
      <c r="K16" t="s">
        <v>716</v>
      </c>
      <c r="L16" t="s">
        <v>32</v>
      </c>
      <c r="M16" t="s">
        <v>304</v>
      </c>
    </row>
    <row r="17" spans="1:13" x14ac:dyDescent="0.25">
      <c r="A17" t="s">
        <v>225</v>
      </c>
      <c r="B17" t="s">
        <v>235</v>
      </c>
      <c r="C17">
        <v>12</v>
      </c>
      <c r="E17">
        <v>50</v>
      </c>
      <c r="F17">
        <v>6</v>
      </c>
      <c r="G17">
        <v>3</v>
      </c>
      <c r="H17">
        <v>3</v>
      </c>
      <c r="I17">
        <v>4</v>
      </c>
      <c r="J17">
        <v>9</v>
      </c>
      <c r="K17" t="s">
        <v>166</v>
      </c>
      <c r="L17" t="s">
        <v>303</v>
      </c>
      <c r="M17" t="s">
        <v>299</v>
      </c>
    </row>
    <row r="18" spans="1:13" x14ac:dyDescent="0.25">
      <c r="A18" t="s">
        <v>226</v>
      </c>
      <c r="B18" t="s">
        <v>236</v>
      </c>
      <c r="C18">
        <v>1</v>
      </c>
      <c r="E18">
        <v>75</v>
      </c>
      <c r="F18">
        <v>6</v>
      </c>
      <c r="G18">
        <v>3</v>
      </c>
      <c r="H18">
        <v>3</v>
      </c>
      <c r="I18">
        <v>3</v>
      </c>
      <c r="J18">
        <v>9</v>
      </c>
      <c r="K18" t="s">
        <v>722</v>
      </c>
      <c r="L18" t="s">
        <v>300</v>
      </c>
      <c r="M18" t="s">
        <v>299</v>
      </c>
    </row>
    <row r="19" spans="1:13" x14ac:dyDescent="0.25">
      <c r="A19" t="s">
        <v>227</v>
      </c>
      <c r="B19" t="s">
        <v>237</v>
      </c>
      <c r="C19">
        <v>1</v>
      </c>
      <c r="E19">
        <v>40</v>
      </c>
      <c r="F19">
        <v>6</v>
      </c>
      <c r="G19">
        <v>2</v>
      </c>
      <c r="H19">
        <v>3</v>
      </c>
      <c r="I19">
        <v>4</v>
      </c>
      <c r="J19">
        <v>8</v>
      </c>
      <c r="K19" t="s">
        <v>729</v>
      </c>
      <c r="L19" t="s">
        <v>118</v>
      </c>
      <c r="M19" t="s">
        <v>302</v>
      </c>
    </row>
    <row r="20" spans="1:13" x14ac:dyDescent="0.25">
      <c r="A20" t="s">
        <v>228</v>
      </c>
      <c r="B20" t="s">
        <v>238</v>
      </c>
      <c r="C20">
        <v>1</v>
      </c>
      <c r="E20">
        <v>50</v>
      </c>
      <c r="F20">
        <v>5</v>
      </c>
      <c r="G20">
        <v>3</v>
      </c>
      <c r="H20">
        <v>3</v>
      </c>
      <c r="I20">
        <v>5</v>
      </c>
      <c r="J20">
        <v>10</v>
      </c>
      <c r="K20" t="s">
        <v>723</v>
      </c>
      <c r="L20" t="s">
        <v>303</v>
      </c>
      <c r="M20" t="s">
        <v>299</v>
      </c>
    </row>
    <row r="21" spans="1:13" x14ac:dyDescent="0.25">
      <c r="A21" t="s">
        <v>229</v>
      </c>
      <c r="B21" t="s">
        <v>239</v>
      </c>
      <c r="C21">
        <v>1</v>
      </c>
      <c r="E21">
        <v>50</v>
      </c>
      <c r="F21">
        <v>7</v>
      </c>
      <c r="G21">
        <v>3</v>
      </c>
      <c r="H21">
        <v>3</v>
      </c>
      <c r="I21">
        <v>4</v>
      </c>
      <c r="J21">
        <v>8</v>
      </c>
      <c r="K21" t="s">
        <v>723</v>
      </c>
      <c r="L21" t="s">
        <v>303</v>
      </c>
      <c r="M21" t="s">
        <v>299</v>
      </c>
    </row>
    <row r="22" spans="1:13" x14ac:dyDescent="0.25">
      <c r="A22" t="s">
        <v>230</v>
      </c>
      <c r="B22" t="s">
        <v>240</v>
      </c>
      <c r="C22">
        <v>1</v>
      </c>
      <c r="E22">
        <v>75</v>
      </c>
      <c r="F22">
        <v>6</v>
      </c>
      <c r="G22">
        <v>3</v>
      </c>
      <c r="H22">
        <v>2</v>
      </c>
      <c r="I22">
        <v>3</v>
      </c>
      <c r="J22">
        <v>9</v>
      </c>
      <c r="K22" t="s">
        <v>723</v>
      </c>
      <c r="L22" t="s">
        <v>304</v>
      </c>
      <c r="M22" t="s">
        <v>301</v>
      </c>
    </row>
    <row r="23" spans="1:13" x14ac:dyDescent="0.25">
      <c r="A23" t="s">
        <v>231</v>
      </c>
      <c r="B23" t="s">
        <v>241</v>
      </c>
      <c r="C23">
        <v>1</v>
      </c>
      <c r="D23" t="s">
        <v>165</v>
      </c>
      <c r="E23">
        <v>115</v>
      </c>
      <c r="F23">
        <v>4</v>
      </c>
      <c r="G23">
        <v>5</v>
      </c>
      <c r="H23">
        <v>5</v>
      </c>
      <c r="I23">
        <v>5</v>
      </c>
      <c r="J23">
        <v>10</v>
      </c>
      <c r="K23" t="s">
        <v>719</v>
      </c>
      <c r="L23" t="s">
        <v>32</v>
      </c>
      <c r="M23" t="s">
        <v>304</v>
      </c>
    </row>
    <row r="24" spans="1:13" x14ac:dyDescent="0.25">
      <c r="A24" t="s">
        <v>232</v>
      </c>
      <c r="B24" t="s">
        <v>242</v>
      </c>
      <c r="C24">
        <v>1</v>
      </c>
      <c r="D24" t="s">
        <v>165</v>
      </c>
      <c r="E24">
        <v>140</v>
      </c>
      <c r="F24">
        <v>5</v>
      </c>
      <c r="G24">
        <v>5</v>
      </c>
      <c r="H24">
        <v>4</v>
      </c>
      <c r="I24">
        <v>5</v>
      </c>
      <c r="J24">
        <v>10</v>
      </c>
      <c r="K24" t="s">
        <v>720</v>
      </c>
      <c r="L24" t="s">
        <v>32</v>
      </c>
      <c r="M24" t="s">
        <v>304</v>
      </c>
    </row>
    <row r="25" spans="1:13" x14ac:dyDescent="0.25">
      <c r="A25" t="s">
        <v>233</v>
      </c>
      <c r="B25" t="s">
        <v>243</v>
      </c>
      <c r="C25">
        <v>1</v>
      </c>
      <c r="D25" t="s">
        <v>165</v>
      </c>
      <c r="E25">
        <v>150</v>
      </c>
      <c r="F25">
        <v>5</v>
      </c>
      <c r="G25">
        <v>5</v>
      </c>
      <c r="H25">
        <v>4</v>
      </c>
      <c r="I25" s="4" t="s">
        <v>26</v>
      </c>
      <c r="J25">
        <v>9</v>
      </c>
      <c r="K25" t="s">
        <v>721</v>
      </c>
      <c r="L25" t="s">
        <v>32</v>
      </c>
      <c r="M25" t="s">
        <v>304</v>
      </c>
    </row>
    <row r="26" spans="1:13" x14ac:dyDescent="0.25">
      <c r="A26" t="s">
        <v>234</v>
      </c>
      <c r="B26" t="s">
        <v>244</v>
      </c>
      <c r="C26">
        <v>1</v>
      </c>
      <c r="D26" t="s">
        <v>165</v>
      </c>
      <c r="E26">
        <v>150</v>
      </c>
      <c r="F26">
        <v>6</v>
      </c>
      <c r="G26">
        <v>5</v>
      </c>
      <c r="H26">
        <v>4</v>
      </c>
      <c r="I26" s="4" t="s">
        <v>26</v>
      </c>
      <c r="J26">
        <v>9</v>
      </c>
      <c r="K26" t="s">
        <v>715</v>
      </c>
      <c r="L26" t="s">
        <v>32</v>
      </c>
      <c r="M26" t="s">
        <v>304</v>
      </c>
    </row>
    <row r="27" spans="1:13" x14ac:dyDescent="0.25">
      <c r="A27" t="s">
        <v>245</v>
      </c>
      <c r="B27" t="s">
        <v>250</v>
      </c>
      <c r="C27">
        <v>12</v>
      </c>
      <c r="E27">
        <v>70</v>
      </c>
      <c r="F27">
        <v>6</v>
      </c>
      <c r="G27">
        <v>3</v>
      </c>
      <c r="H27">
        <v>2</v>
      </c>
      <c r="I27">
        <v>4</v>
      </c>
      <c r="J27">
        <v>9</v>
      </c>
      <c r="K27" t="s">
        <v>166</v>
      </c>
      <c r="L27" t="s">
        <v>7</v>
      </c>
      <c r="M27" t="s">
        <v>32</v>
      </c>
    </row>
    <row r="28" spans="1:13" x14ac:dyDescent="0.25">
      <c r="A28" t="s">
        <v>246</v>
      </c>
      <c r="B28" t="s">
        <v>472</v>
      </c>
      <c r="C28">
        <v>2</v>
      </c>
      <c r="E28">
        <v>80</v>
      </c>
      <c r="F28">
        <v>7</v>
      </c>
      <c r="G28">
        <v>3</v>
      </c>
      <c r="H28">
        <v>2</v>
      </c>
      <c r="I28">
        <v>3</v>
      </c>
      <c r="J28">
        <v>8</v>
      </c>
      <c r="K28" t="s">
        <v>71</v>
      </c>
      <c r="L28" t="s">
        <v>296</v>
      </c>
      <c r="M28" t="s">
        <v>32</v>
      </c>
    </row>
    <row r="29" spans="1:13" x14ac:dyDescent="0.25">
      <c r="A29" t="s">
        <v>247</v>
      </c>
      <c r="B29" t="s">
        <v>706</v>
      </c>
      <c r="C29">
        <v>4</v>
      </c>
      <c r="E29">
        <v>100</v>
      </c>
      <c r="F29">
        <v>7</v>
      </c>
      <c r="G29">
        <v>3</v>
      </c>
      <c r="H29">
        <v>2</v>
      </c>
      <c r="I29">
        <v>4</v>
      </c>
      <c r="J29">
        <v>9</v>
      </c>
      <c r="K29" t="s">
        <v>45</v>
      </c>
      <c r="L29" t="s">
        <v>7</v>
      </c>
      <c r="M29" t="s">
        <v>301</v>
      </c>
    </row>
    <row r="30" spans="1:13" x14ac:dyDescent="0.25">
      <c r="A30" t="s">
        <v>248</v>
      </c>
      <c r="B30" t="s">
        <v>251</v>
      </c>
      <c r="C30">
        <v>2</v>
      </c>
      <c r="E30">
        <v>85</v>
      </c>
      <c r="F30">
        <v>7</v>
      </c>
      <c r="G30">
        <v>3</v>
      </c>
      <c r="H30">
        <v>2</v>
      </c>
      <c r="I30">
        <v>5</v>
      </c>
      <c r="J30">
        <v>8</v>
      </c>
      <c r="K30" t="s">
        <v>252</v>
      </c>
      <c r="L30" t="s">
        <v>7</v>
      </c>
      <c r="M30" t="s">
        <v>301</v>
      </c>
    </row>
    <row r="31" spans="1:13" x14ac:dyDescent="0.25">
      <c r="A31" t="s">
        <v>249</v>
      </c>
      <c r="B31" t="s">
        <v>253</v>
      </c>
      <c r="C31">
        <v>2</v>
      </c>
      <c r="E31">
        <v>110</v>
      </c>
      <c r="F31">
        <v>7</v>
      </c>
      <c r="G31">
        <v>3</v>
      </c>
      <c r="H31">
        <v>2</v>
      </c>
      <c r="I31">
        <v>5</v>
      </c>
      <c r="J31">
        <v>8</v>
      </c>
      <c r="K31" t="s">
        <v>724</v>
      </c>
      <c r="L31" t="s">
        <v>7</v>
      </c>
      <c r="M31" t="s">
        <v>301</v>
      </c>
    </row>
    <row r="32" spans="1:13" x14ac:dyDescent="0.25">
      <c r="A32" t="s">
        <v>255</v>
      </c>
      <c r="B32" t="s">
        <v>260</v>
      </c>
      <c r="C32">
        <v>12</v>
      </c>
      <c r="E32">
        <v>70</v>
      </c>
      <c r="F32">
        <v>4</v>
      </c>
      <c r="G32">
        <v>3</v>
      </c>
      <c r="H32">
        <v>4</v>
      </c>
      <c r="I32">
        <v>5</v>
      </c>
      <c r="J32">
        <v>10</v>
      </c>
      <c r="K32" t="s">
        <v>261</v>
      </c>
      <c r="L32" t="s">
        <v>294</v>
      </c>
      <c r="M32" t="s">
        <v>28</v>
      </c>
    </row>
    <row r="33" spans="1:13" x14ac:dyDescent="0.25">
      <c r="A33" t="s">
        <v>256</v>
      </c>
      <c r="B33" t="s">
        <v>473</v>
      </c>
      <c r="C33">
        <v>2</v>
      </c>
      <c r="E33">
        <v>85</v>
      </c>
      <c r="F33">
        <v>6</v>
      </c>
      <c r="G33">
        <v>3</v>
      </c>
      <c r="H33">
        <v>3</v>
      </c>
      <c r="I33">
        <v>4</v>
      </c>
      <c r="J33">
        <v>9</v>
      </c>
      <c r="K33" t="s">
        <v>262</v>
      </c>
      <c r="L33" t="s">
        <v>302</v>
      </c>
      <c r="M33" t="s">
        <v>299</v>
      </c>
    </row>
    <row r="34" spans="1:13" x14ac:dyDescent="0.25">
      <c r="A34" t="s">
        <v>257</v>
      </c>
      <c r="B34" t="s">
        <v>474</v>
      </c>
      <c r="C34">
        <v>2</v>
      </c>
      <c r="E34">
        <v>80</v>
      </c>
      <c r="F34">
        <v>5</v>
      </c>
      <c r="G34">
        <v>3</v>
      </c>
      <c r="H34">
        <v>3</v>
      </c>
      <c r="I34">
        <v>4</v>
      </c>
      <c r="J34">
        <v>10</v>
      </c>
      <c r="K34" t="s">
        <v>263</v>
      </c>
      <c r="L34" t="s">
        <v>294</v>
      </c>
      <c r="M34" t="s">
        <v>295</v>
      </c>
    </row>
    <row r="35" spans="1:13" x14ac:dyDescent="0.25">
      <c r="A35" t="s">
        <v>258</v>
      </c>
      <c r="B35" t="s">
        <v>264</v>
      </c>
      <c r="C35">
        <v>2</v>
      </c>
      <c r="E35">
        <v>95</v>
      </c>
      <c r="F35">
        <v>5</v>
      </c>
      <c r="G35">
        <v>3</v>
      </c>
      <c r="H35">
        <v>4</v>
      </c>
      <c r="I35" s="4" t="s">
        <v>26</v>
      </c>
      <c r="J35">
        <v>9</v>
      </c>
      <c r="K35" t="s">
        <v>725</v>
      </c>
      <c r="L35" t="s">
        <v>294</v>
      </c>
      <c r="M35" t="s">
        <v>28</v>
      </c>
    </row>
    <row r="36" spans="1:13" x14ac:dyDescent="0.25">
      <c r="A36" t="s">
        <v>259</v>
      </c>
      <c r="B36" t="s">
        <v>265</v>
      </c>
      <c r="C36">
        <v>1</v>
      </c>
      <c r="E36">
        <v>170</v>
      </c>
      <c r="F36">
        <v>4</v>
      </c>
      <c r="G36">
        <v>7</v>
      </c>
      <c r="H36">
        <v>5</v>
      </c>
      <c r="I36" s="4" t="s">
        <v>26</v>
      </c>
      <c r="J36">
        <v>11</v>
      </c>
      <c r="K36" t="s">
        <v>726</v>
      </c>
      <c r="L36" t="s">
        <v>32</v>
      </c>
      <c r="M36" t="s">
        <v>7</v>
      </c>
    </row>
    <row r="37" spans="1:13" x14ac:dyDescent="0.25">
      <c r="A37" t="s">
        <v>266</v>
      </c>
      <c r="B37" t="s">
        <v>475</v>
      </c>
      <c r="C37">
        <v>12</v>
      </c>
      <c r="E37">
        <v>60</v>
      </c>
      <c r="F37">
        <v>6</v>
      </c>
      <c r="G37">
        <v>3</v>
      </c>
      <c r="H37">
        <v>2</v>
      </c>
      <c r="I37">
        <v>4</v>
      </c>
      <c r="J37">
        <v>8</v>
      </c>
      <c r="K37" t="s">
        <v>166</v>
      </c>
      <c r="L37" t="s">
        <v>7</v>
      </c>
      <c r="M37" t="s">
        <v>32</v>
      </c>
    </row>
    <row r="38" spans="1:13" x14ac:dyDescent="0.25">
      <c r="A38" t="s">
        <v>267</v>
      </c>
      <c r="B38" t="s">
        <v>476</v>
      </c>
      <c r="C38">
        <v>2</v>
      </c>
      <c r="E38">
        <v>75</v>
      </c>
      <c r="F38">
        <v>6</v>
      </c>
      <c r="G38">
        <v>3</v>
      </c>
      <c r="H38">
        <v>2</v>
      </c>
      <c r="I38">
        <v>2</v>
      </c>
      <c r="J38">
        <v>8</v>
      </c>
      <c r="K38" t="s">
        <v>77</v>
      </c>
      <c r="L38" t="s">
        <v>296</v>
      </c>
      <c r="M38" t="s">
        <v>32</v>
      </c>
    </row>
    <row r="39" spans="1:13" x14ac:dyDescent="0.25">
      <c r="A39" t="s">
        <v>268</v>
      </c>
      <c r="B39" t="s">
        <v>477</v>
      </c>
      <c r="C39">
        <v>4</v>
      </c>
      <c r="E39">
        <v>100</v>
      </c>
      <c r="F39">
        <v>8</v>
      </c>
      <c r="G39">
        <v>3</v>
      </c>
      <c r="H39">
        <v>2</v>
      </c>
      <c r="I39">
        <v>4</v>
      </c>
      <c r="J39">
        <v>8</v>
      </c>
      <c r="K39" t="s">
        <v>270</v>
      </c>
      <c r="L39" t="s">
        <v>7</v>
      </c>
      <c r="M39" t="s">
        <v>32</v>
      </c>
    </row>
    <row r="40" spans="1:13" x14ac:dyDescent="0.25">
      <c r="A40" t="s">
        <v>269</v>
      </c>
      <c r="B40" t="s">
        <v>478</v>
      </c>
      <c r="C40">
        <v>2</v>
      </c>
      <c r="E40">
        <v>115</v>
      </c>
      <c r="F40">
        <v>7</v>
      </c>
      <c r="G40">
        <v>3</v>
      </c>
      <c r="H40">
        <v>2</v>
      </c>
      <c r="I40">
        <v>3</v>
      </c>
      <c r="J40">
        <v>9</v>
      </c>
      <c r="K40" t="s">
        <v>714</v>
      </c>
      <c r="L40" t="s">
        <v>7</v>
      </c>
      <c r="M40" t="s">
        <v>301</v>
      </c>
    </row>
    <row r="41" spans="1:13" x14ac:dyDescent="0.25">
      <c r="A41" t="s">
        <v>271</v>
      </c>
      <c r="B41" t="s">
        <v>279</v>
      </c>
      <c r="C41">
        <v>16</v>
      </c>
      <c r="E41">
        <v>40</v>
      </c>
      <c r="F41">
        <v>6</v>
      </c>
      <c r="G41">
        <v>2</v>
      </c>
      <c r="H41">
        <v>3</v>
      </c>
      <c r="I41">
        <v>4</v>
      </c>
      <c r="J41">
        <v>8</v>
      </c>
      <c r="K41" t="s">
        <v>728</v>
      </c>
      <c r="L41" t="s">
        <v>28</v>
      </c>
      <c r="M41" t="s">
        <v>293</v>
      </c>
    </row>
    <row r="42" spans="1:13" x14ac:dyDescent="0.25">
      <c r="A42" t="s">
        <v>272</v>
      </c>
      <c r="B42" t="s">
        <v>280</v>
      </c>
      <c r="C42">
        <v>1</v>
      </c>
      <c r="E42">
        <v>45</v>
      </c>
      <c r="F42">
        <v>6</v>
      </c>
      <c r="G42">
        <v>2</v>
      </c>
      <c r="H42">
        <v>3</v>
      </c>
      <c r="I42">
        <v>4</v>
      </c>
      <c r="J42">
        <v>8</v>
      </c>
      <c r="K42" t="s">
        <v>727</v>
      </c>
      <c r="L42" t="s">
        <v>28</v>
      </c>
      <c r="M42" t="s">
        <v>293</v>
      </c>
    </row>
    <row r="43" spans="1:13" x14ac:dyDescent="0.25">
      <c r="A43" t="s">
        <v>273</v>
      </c>
      <c r="B43" t="s">
        <v>281</v>
      </c>
      <c r="C43">
        <v>1</v>
      </c>
      <c r="E43">
        <v>40</v>
      </c>
      <c r="F43">
        <v>6</v>
      </c>
      <c r="G43">
        <v>2</v>
      </c>
      <c r="H43">
        <v>3</v>
      </c>
      <c r="I43" s="4" t="s">
        <v>26</v>
      </c>
      <c r="J43">
        <v>8</v>
      </c>
      <c r="K43" t="s">
        <v>730</v>
      </c>
      <c r="L43" t="s">
        <v>28</v>
      </c>
      <c r="M43" t="s">
        <v>294</v>
      </c>
    </row>
    <row r="44" spans="1:13" x14ac:dyDescent="0.25">
      <c r="A44" t="s">
        <v>274</v>
      </c>
      <c r="B44" t="s">
        <v>282</v>
      </c>
      <c r="C44">
        <v>1</v>
      </c>
      <c r="E44">
        <v>70</v>
      </c>
      <c r="F44">
        <v>3</v>
      </c>
      <c r="G44">
        <v>7</v>
      </c>
      <c r="H44">
        <v>3</v>
      </c>
      <c r="I44" s="4" t="s">
        <v>26</v>
      </c>
      <c r="J44">
        <v>8</v>
      </c>
      <c r="K44" t="s">
        <v>731</v>
      </c>
      <c r="L44" t="s">
        <v>32</v>
      </c>
      <c r="M44" t="s">
        <v>7</v>
      </c>
    </row>
    <row r="45" spans="1:13" x14ac:dyDescent="0.25">
      <c r="A45" t="s">
        <v>275</v>
      </c>
      <c r="B45" t="s">
        <v>283</v>
      </c>
      <c r="C45">
        <v>1</v>
      </c>
      <c r="E45">
        <v>75</v>
      </c>
      <c r="F45">
        <v>7</v>
      </c>
      <c r="G45">
        <v>2</v>
      </c>
      <c r="H45">
        <v>3</v>
      </c>
      <c r="I45">
        <v>5</v>
      </c>
      <c r="J45">
        <v>8</v>
      </c>
      <c r="K45" t="s">
        <v>732</v>
      </c>
      <c r="L45" t="s">
        <v>28</v>
      </c>
      <c r="M45" t="s">
        <v>293</v>
      </c>
    </row>
    <row r="46" spans="1:13" x14ac:dyDescent="0.25">
      <c r="A46" t="s">
        <v>276</v>
      </c>
      <c r="B46" s="4" t="s">
        <v>284</v>
      </c>
      <c r="C46">
        <v>1</v>
      </c>
      <c r="E46">
        <v>65</v>
      </c>
      <c r="F46">
        <v>6</v>
      </c>
      <c r="G46">
        <v>2</v>
      </c>
      <c r="H46">
        <v>3</v>
      </c>
      <c r="I46">
        <v>6</v>
      </c>
      <c r="J46">
        <v>8</v>
      </c>
      <c r="K46" t="s">
        <v>733</v>
      </c>
      <c r="L46" t="s">
        <v>28</v>
      </c>
      <c r="M46" t="s">
        <v>293</v>
      </c>
    </row>
    <row r="47" spans="1:13" x14ac:dyDescent="0.25">
      <c r="A47" t="s">
        <v>277</v>
      </c>
      <c r="B47" t="s">
        <v>285</v>
      </c>
      <c r="C47">
        <v>1</v>
      </c>
      <c r="E47">
        <v>60</v>
      </c>
      <c r="F47">
        <v>6</v>
      </c>
      <c r="G47">
        <v>2</v>
      </c>
      <c r="H47">
        <v>3</v>
      </c>
      <c r="I47">
        <v>6</v>
      </c>
      <c r="J47">
        <v>8</v>
      </c>
      <c r="K47" t="s">
        <v>734</v>
      </c>
      <c r="L47" t="s">
        <v>28</v>
      </c>
      <c r="M47" t="s">
        <v>294</v>
      </c>
    </row>
    <row r="48" spans="1:13" x14ac:dyDescent="0.25">
      <c r="A48" t="s">
        <v>278</v>
      </c>
      <c r="B48" t="s">
        <v>215</v>
      </c>
      <c r="C48">
        <v>2</v>
      </c>
      <c r="E48">
        <v>115</v>
      </c>
      <c r="F48">
        <v>4</v>
      </c>
      <c r="G48">
        <v>5</v>
      </c>
      <c r="H48">
        <v>5</v>
      </c>
      <c r="I48">
        <v>5</v>
      </c>
      <c r="J48">
        <v>10</v>
      </c>
      <c r="K48" t="s">
        <v>718</v>
      </c>
      <c r="L48" t="s">
        <v>32</v>
      </c>
      <c r="M48" t="s">
        <v>296</v>
      </c>
    </row>
    <row r="49" spans="1:13" x14ac:dyDescent="0.25">
      <c r="A49" t="s">
        <v>286</v>
      </c>
      <c r="B49" t="s">
        <v>290</v>
      </c>
      <c r="C49">
        <v>16</v>
      </c>
      <c r="E49">
        <v>30</v>
      </c>
      <c r="F49">
        <v>5</v>
      </c>
      <c r="G49">
        <v>2</v>
      </c>
      <c r="H49">
        <v>3</v>
      </c>
      <c r="I49">
        <v>4</v>
      </c>
      <c r="J49">
        <v>7</v>
      </c>
      <c r="K49" t="s">
        <v>728</v>
      </c>
      <c r="L49" t="s">
        <v>28</v>
      </c>
      <c r="M49" t="s">
        <v>294</v>
      </c>
    </row>
    <row r="50" spans="1:13" x14ac:dyDescent="0.25">
      <c r="A50" t="s">
        <v>287</v>
      </c>
      <c r="B50" t="s">
        <v>291</v>
      </c>
      <c r="C50">
        <v>2</v>
      </c>
      <c r="E50">
        <v>50</v>
      </c>
      <c r="F50">
        <v>5</v>
      </c>
      <c r="G50">
        <v>2</v>
      </c>
      <c r="H50">
        <v>3</v>
      </c>
      <c r="I50">
        <v>3</v>
      </c>
      <c r="J50">
        <v>8</v>
      </c>
      <c r="K50" t="s">
        <v>735</v>
      </c>
      <c r="L50" t="s">
        <v>295</v>
      </c>
      <c r="M50" t="s">
        <v>294</v>
      </c>
    </row>
    <row r="51" spans="1:13" x14ac:dyDescent="0.25">
      <c r="A51" t="s">
        <v>288</v>
      </c>
      <c r="B51" t="s">
        <v>292</v>
      </c>
      <c r="C51">
        <v>2</v>
      </c>
      <c r="E51">
        <v>55</v>
      </c>
      <c r="F51">
        <v>5</v>
      </c>
      <c r="G51">
        <v>2</v>
      </c>
      <c r="H51">
        <v>3</v>
      </c>
      <c r="I51">
        <v>5</v>
      </c>
      <c r="J51">
        <v>7</v>
      </c>
      <c r="K51" t="s">
        <v>736</v>
      </c>
      <c r="L51" t="s">
        <v>28</v>
      </c>
      <c r="M51" t="s">
        <v>294</v>
      </c>
    </row>
    <row r="52" spans="1:13" x14ac:dyDescent="0.25">
      <c r="A52" t="s">
        <v>289</v>
      </c>
      <c r="B52" t="s">
        <v>164</v>
      </c>
      <c r="C52">
        <v>2</v>
      </c>
      <c r="E52">
        <v>120</v>
      </c>
      <c r="F52">
        <v>2</v>
      </c>
      <c r="G52">
        <v>6</v>
      </c>
      <c r="H52">
        <v>5</v>
      </c>
      <c r="I52">
        <v>5</v>
      </c>
      <c r="J52">
        <v>11</v>
      </c>
      <c r="K52" t="s">
        <v>737</v>
      </c>
      <c r="L52" t="s">
        <v>32</v>
      </c>
      <c r="M52" t="s">
        <v>296</v>
      </c>
    </row>
    <row r="53" spans="1:13" x14ac:dyDescent="0.25">
      <c r="A53" t="s">
        <v>450</v>
      </c>
      <c r="B53" t="s">
        <v>454</v>
      </c>
      <c r="C53">
        <v>16</v>
      </c>
      <c r="E53">
        <v>70</v>
      </c>
      <c r="F53">
        <v>6</v>
      </c>
      <c r="G53">
        <v>3</v>
      </c>
      <c r="H53">
        <v>2</v>
      </c>
      <c r="I53">
        <v>4</v>
      </c>
      <c r="J53">
        <v>9</v>
      </c>
      <c r="K53" t="s">
        <v>166</v>
      </c>
      <c r="L53" t="s">
        <v>7</v>
      </c>
      <c r="M53" t="s">
        <v>301</v>
      </c>
    </row>
    <row r="54" spans="1:13" x14ac:dyDescent="0.25">
      <c r="A54" t="s">
        <v>451</v>
      </c>
      <c r="B54" t="s">
        <v>487</v>
      </c>
      <c r="C54">
        <v>2</v>
      </c>
      <c r="E54">
        <v>100</v>
      </c>
      <c r="F54">
        <v>6</v>
      </c>
      <c r="G54">
        <v>3</v>
      </c>
      <c r="H54">
        <v>2</v>
      </c>
      <c r="I54">
        <v>2</v>
      </c>
      <c r="J54">
        <v>9</v>
      </c>
      <c r="K54" t="s">
        <v>664</v>
      </c>
      <c r="L54" t="s">
        <v>296</v>
      </c>
      <c r="M54" t="s">
        <v>32</v>
      </c>
    </row>
    <row r="55" spans="1:13" x14ac:dyDescent="0.25">
      <c r="A55" t="s">
        <v>452</v>
      </c>
      <c r="B55" t="s">
        <v>665</v>
      </c>
      <c r="C55">
        <v>4</v>
      </c>
      <c r="E55">
        <v>90</v>
      </c>
      <c r="F55">
        <v>8</v>
      </c>
      <c r="G55">
        <v>3</v>
      </c>
      <c r="H55">
        <v>2</v>
      </c>
      <c r="I55">
        <v>5</v>
      </c>
      <c r="J55">
        <v>8</v>
      </c>
      <c r="K55" t="s">
        <v>33</v>
      </c>
      <c r="L55" t="s">
        <v>7</v>
      </c>
      <c r="M55" t="s">
        <v>32</v>
      </c>
    </row>
    <row r="56" spans="1:13" x14ac:dyDescent="0.25">
      <c r="A56" t="s">
        <v>453</v>
      </c>
      <c r="B56" t="s">
        <v>666</v>
      </c>
      <c r="C56">
        <v>2</v>
      </c>
      <c r="E56">
        <v>100</v>
      </c>
      <c r="F56">
        <v>7</v>
      </c>
      <c r="G56">
        <v>3</v>
      </c>
      <c r="H56">
        <v>2</v>
      </c>
      <c r="I56">
        <v>4</v>
      </c>
      <c r="J56">
        <v>9</v>
      </c>
      <c r="K56" t="s">
        <v>45</v>
      </c>
      <c r="L56" t="s">
        <v>7</v>
      </c>
      <c r="M56" t="s">
        <v>301</v>
      </c>
    </row>
    <row r="57" spans="1:13" x14ac:dyDescent="0.25">
      <c r="A57" t="s">
        <v>321</v>
      </c>
      <c r="B57" t="s">
        <v>327</v>
      </c>
      <c r="C57">
        <v>16</v>
      </c>
      <c r="E57">
        <v>50</v>
      </c>
      <c r="F57">
        <v>6</v>
      </c>
      <c r="G57">
        <v>3</v>
      </c>
      <c r="H57">
        <v>3</v>
      </c>
      <c r="I57">
        <v>4</v>
      </c>
      <c r="J57">
        <v>9</v>
      </c>
      <c r="K57" t="s">
        <v>166</v>
      </c>
      <c r="L57" t="s">
        <v>29</v>
      </c>
      <c r="M57" t="s">
        <v>299</v>
      </c>
    </row>
    <row r="58" spans="1:13" x14ac:dyDescent="0.25">
      <c r="A58" t="s">
        <v>322</v>
      </c>
      <c r="B58" t="s">
        <v>479</v>
      </c>
      <c r="C58">
        <v>2</v>
      </c>
      <c r="E58">
        <v>80</v>
      </c>
      <c r="F58">
        <v>6</v>
      </c>
      <c r="G58">
        <v>3</v>
      </c>
      <c r="H58">
        <v>3</v>
      </c>
      <c r="I58">
        <v>2</v>
      </c>
      <c r="J58">
        <v>9</v>
      </c>
      <c r="K58" t="s">
        <v>328</v>
      </c>
      <c r="L58" t="s">
        <v>302</v>
      </c>
      <c r="M58" t="s">
        <v>299</v>
      </c>
    </row>
    <row r="59" spans="1:13" x14ac:dyDescent="0.25">
      <c r="A59" t="s">
        <v>323</v>
      </c>
      <c r="B59" t="s">
        <v>480</v>
      </c>
      <c r="C59">
        <v>4</v>
      </c>
      <c r="E59">
        <v>65</v>
      </c>
      <c r="F59">
        <v>8</v>
      </c>
      <c r="G59">
        <v>2</v>
      </c>
      <c r="H59">
        <v>3</v>
      </c>
      <c r="I59">
        <v>5</v>
      </c>
      <c r="J59">
        <v>8</v>
      </c>
      <c r="K59" t="s">
        <v>329</v>
      </c>
      <c r="L59" t="s">
        <v>7</v>
      </c>
      <c r="M59" t="s">
        <v>305</v>
      </c>
    </row>
    <row r="60" spans="1:13" x14ac:dyDescent="0.25">
      <c r="A60" t="s">
        <v>324</v>
      </c>
      <c r="B60" t="s">
        <v>481</v>
      </c>
      <c r="C60">
        <v>4</v>
      </c>
      <c r="E60">
        <v>85</v>
      </c>
      <c r="F60">
        <v>7</v>
      </c>
      <c r="G60">
        <v>3</v>
      </c>
      <c r="H60">
        <v>3</v>
      </c>
      <c r="I60">
        <v>4</v>
      </c>
      <c r="J60">
        <v>9</v>
      </c>
      <c r="K60" t="s">
        <v>45</v>
      </c>
      <c r="L60" t="s">
        <v>294</v>
      </c>
      <c r="M60" t="s">
        <v>305</v>
      </c>
    </row>
    <row r="61" spans="1:13" x14ac:dyDescent="0.25">
      <c r="A61" t="s">
        <v>325</v>
      </c>
      <c r="B61" t="s">
        <v>330</v>
      </c>
      <c r="C61">
        <v>3</v>
      </c>
      <c r="E61">
        <v>30</v>
      </c>
      <c r="F61">
        <v>5</v>
      </c>
      <c r="G61">
        <v>2</v>
      </c>
      <c r="H61">
        <v>3</v>
      </c>
      <c r="I61">
        <v>4</v>
      </c>
      <c r="J61">
        <v>7</v>
      </c>
      <c r="K61" t="s">
        <v>728</v>
      </c>
      <c r="L61" t="s">
        <v>28</v>
      </c>
      <c r="M61" t="s">
        <v>294</v>
      </c>
    </row>
    <row r="62" spans="1:13" x14ac:dyDescent="0.25">
      <c r="A62" t="s">
        <v>326</v>
      </c>
      <c r="B62" t="s">
        <v>107</v>
      </c>
      <c r="C62">
        <v>1</v>
      </c>
      <c r="E62">
        <v>140</v>
      </c>
      <c r="F62">
        <v>5</v>
      </c>
      <c r="G62">
        <v>5</v>
      </c>
      <c r="H62">
        <v>4</v>
      </c>
      <c r="I62">
        <v>5</v>
      </c>
      <c r="J62">
        <v>10</v>
      </c>
      <c r="K62" t="s">
        <v>720</v>
      </c>
      <c r="L62" t="s">
        <v>32</v>
      </c>
      <c r="M62" t="s">
        <v>7</v>
      </c>
    </row>
    <row r="63" spans="1:13" x14ac:dyDescent="0.25">
      <c r="A63" t="s">
        <v>331</v>
      </c>
      <c r="B63" t="s">
        <v>336</v>
      </c>
      <c r="C63">
        <v>12</v>
      </c>
      <c r="E63">
        <v>45</v>
      </c>
      <c r="F63">
        <v>6</v>
      </c>
      <c r="G63">
        <v>3</v>
      </c>
      <c r="H63">
        <v>4</v>
      </c>
      <c r="I63">
        <v>4</v>
      </c>
      <c r="J63">
        <v>8</v>
      </c>
      <c r="K63" t="s">
        <v>48</v>
      </c>
      <c r="L63" t="s">
        <v>29</v>
      </c>
      <c r="M63" t="s">
        <v>299</v>
      </c>
    </row>
    <row r="64" spans="1:13" x14ac:dyDescent="0.25">
      <c r="A64" t="s">
        <v>332</v>
      </c>
      <c r="B64" t="s">
        <v>337</v>
      </c>
      <c r="C64">
        <v>2</v>
      </c>
      <c r="E64">
        <v>75</v>
      </c>
      <c r="F64">
        <v>6</v>
      </c>
      <c r="G64">
        <v>3</v>
      </c>
      <c r="H64">
        <v>3</v>
      </c>
      <c r="I64">
        <v>3</v>
      </c>
      <c r="J64">
        <v>9</v>
      </c>
      <c r="K64" t="s">
        <v>338</v>
      </c>
      <c r="L64" t="s">
        <v>302</v>
      </c>
      <c r="M64" t="s">
        <v>299</v>
      </c>
    </row>
    <row r="65" spans="1:13" x14ac:dyDescent="0.25">
      <c r="A65" t="s">
        <v>333</v>
      </c>
      <c r="B65" t="s">
        <v>339</v>
      </c>
      <c r="C65">
        <v>2</v>
      </c>
      <c r="E65">
        <v>105</v>
      </c>
      <c r="F65">
        <v>7</v>
      </c>
      <c r="G65">
        <v>3</v>
      </c>
      <c r="H65">
        <v>3</v>
      </c>
      <c r="I65">
        <v>4</v>
      </c>
      <c r="J65">
        <v>9</v>
      </c>
      <c r="K65" t="s">
        <v>340</v>
      </c>
      <c r="L65" t="s">
        <v>7</v>
      </c>
      <c r="M65" t="s">
        <v>301</v>
      </c>
    </row>
    <row r="66" spans="1:13" x14ac:dyDescent="0.25">
      <c r="A66" t="s">
        <v>334</v>
      </c>
      <c r="B66" t="s">
        <v>705</v>
      </c>
      <c r="C66">
        <v>4</v>
      </c>
      <c r="E66">
        <v>90</v>
      </c>
      <c r="F66">
        <v>6</v>
      </c>
      <c r="G66">
        <v>3</v>
      </c>
      <c r="H66">
        <v>3</v>
      </c>
      <c r="I66">
        <v>5</v>
      </c>
      <c r="J66">
        <v>9</v>
      </c>
      <c r="K66" t="s">
        <v>341</v>
      </c>
      <c r="L66" t="s">
        <v>294</v>
      </c>
      <c r="M66" t="s">
        <v>28</v>
      </c>
    </row>
    <row r="67" spans="1:13" x14ac:dyDescent="0.25">
      <c r="A67" t="s">
        <v>335</v>
      </c>
      <c r="B67" t="s">
        <v>107</v>
      </c>
      <c r="C67">
        <v>1</v>
      </c>
      <c r="E67">
        <v>140</v>
      </c>
      <c r="F67">
        <v>5</v>
      </c>
      <c r="G67">
        <v>5</v>
      </c>
      <c r="H67">
        <v>4</v>
      </c>
      <c r="I67">
        <v>5</v>
      </c>
      <c r="J67">
        <v>10</v>
      </c>
      <c r="K67" t="s">
        <v>720</v>
      </c>
      <c r="L67" t="s">
        <v>32</v>
      </c>
      <c r="M67" t="s">
        <v>7</v>
      </c>
    </row>
    <row r="68" spans="1:13" x14ac:dyDescent="0.25">
      <c r="A68" t="s">
        <v>455</v>
      </c>
      <c r="B68" t="s">
        <v>832</v>
      </c>
      <c r="C68">
        <v>16</v>
      </c>
      <c r="E68">
        <v>50</v>
      </c>
      <c r="F68">
        <v>6</v>
      </c>
      <c r="G68">
        <v>3</v>
      </c>
      <c r="H68">
        <v>3</v>
      </c>
      <c r="I68" s="4">
        <v>4</v>
      </c>
      <c r="J68">
        <v>8</v>
      </c>
      <c r="K68" t="s">
        <v>633</v>
      </c>
      <c r="L68" t="s">
        <v>303</v>
      </c>
      <c r="M68" t="s">
        <v>696</v>
      </c>
    </row>
    <row r="69" spans="1:13" x14ac:dyDescent="0.25">
      <c r="A69" t="s">
        <v>456</v>
      </c>
      <c r="B69" t="s">
        <v>833</v>
      </c>
      <c r="C69">
        <v>4</v>
      </c>
      <c r="E69">
        <v>70</v>
      </c>
      <c r="F69">
        <v>6</v>
      </c>
      <c r="G69">
        <v>3</v>
      </c>
      <c r="H69">
        <v>3</v>
      </c>
      <c r="I69" s="4">
        <v>4</v>
      </c>
      <c r="J69">
        <v>9</v>
      </c>
      <c r="K69" t="s">
        <v>834</v>
      </c>
      <c r="L69" t="s">
        <v>297</v>
      </c>
      <c r="M69" t="s">
        <v>295</v>
      </c>
    </row>
    <row r="70" spans="1:13" x14ac:dyDescent="0.25">
      <c r="A70" t="s">
        <v>457</v>
      </c>
      <c r="B70" t="s">
        <v>835</v>
      </c>
      <c r="C70">
        <v>4</v>
      </c>
      <c r="E70">
        <v>110</v>
      </c>
      <c r="F70">
        <v>5</v>
      </c>
      <c r="G70">
        <v>4</v>
      </c>
      <c r="H70">
        <v>4</v>
      </c>
      <c r="I70" s="4">
        <v>6</v>
      </c>
      <c r="J70">
        <v>10</v>
      </c>
      <c r="K70" t="s">
        <v>633</v>
      </c>
      <c r="L70" t="s">
        <v>297</v>
      </c>
      <c r="M70" t="s">
        <v>28</v>
      </c>
    </row>
    <row r="71" spans="1:13" x14ac:dyDescent="0.25">
      <c r="A71" t="s">
        <v>458</v>
      </c>
      <c r="B71" t="s">
        <v>836</v>
      </c>
      <c r="C71">
        <v>1</v>
      </c>
      <c r="E71">
        <v>160</v>
      </c>
      <c r="F71">
        <v>5</v>
      </c>
      <c r="G71">
        <v>5</v>
      </c>
      <c r="H71">
        <v>4</v>
      </c>
      <c r="I71" s="4" t="s">
        <v>26</v>
      </c>
      <c r="J71">
        <v>9</v>
      </c>
      <c r="K71" t="s">
        <v>837</v>
      </c>
      <c r="L71" t="s">
        <v>298</v>
      </c>
      <c r="M71" t="s">
        <v>7</v>
      </c>
    </row>
    <row r="72" spans="1:13" x14ac:dyDescent="0.25">
      <c r="A72" t="s">
        <v>342</v>
      </c>
      <c r="B72" t="s">
        <v>346</v>
      </c>
      <c r="C72">
        <v>12</v>
      </c>
      <c r="E72">
        <v>60</v>
      </c>
      <c r="F72">
        <v>8</v>
      </c>
      <c r="G72">
        <v>2</v>
      </c>
      <c r="H72">
        <v>3</v>
      </c>
      <c r="I72">
        <v>4</v>
      </c>
      <c r="J72">
        <v>8</v>
      </c>
      <c r="K72" t="s">
        <v>738</v>
      </c>
      <c r="L72" t="s">
        <v>28</v>
      </c>
      <c r="M72" t="s">
        <v>293</v>
      </c>
    </row>
    <row r="73" spans="1:13" x14ac:dyDescent="0.25">
      <c r="A73" t="s">
        <v>343</v>
      </c>
      <c r="B73" t="s">
        <v>347</v>
      </c>
      <c r="C73">
        <v>2</v>
      </c>
      <c r="E73">
        <v>70</v>
      </c>
      <c r="F73">
        <v>7</v>
      </c>
      <c r="G73">
        <v>2</v>
      </c>
      <c r="H73">
        <v>3</v>
      </c>
      <c r="I73">
        <v>3</v>
      </c>
      <c r="J73">
        <v>8</v>
      </c>
      <c r="K73" t="s">
        <v>739</v>
      </c>
      <c r="L73" t="s">
        <v>28</v>
      </c>
      <c r="M73" t="s">
        <v>293</v>
      </c>
    </row>
    <row r="74" spans="1:13" x14ac:dyDescent="0.25">
      <c r="A74" t="s">
        <v>344</v>
      </c>
      <c r="B74" t="s">
        <v>348</v>
      </c>
      <c r="C74">
        <v>6</v>
      </c>
      <c r="E74">
        <v>85</v>
      </c>
      <c r="F74">
        <v>6</v>
      </c>
      <c r="G74">
        <v>4</v>
      </c>
      <c r="H74">
        <v>5</v>
      </c>
      <c r="I74">
        <v>6</v>
      </c>
      <c r="J74">
        <v>10</v>
      </c>
      <c r="K74" t="s">
        <v>166</v>
      </c>
      <c r="L74" t="s">
        <v>294</v>
      </c>
      <c r="M74" t="s">
        <v>28</v>
      </c>
    </row>
    <row r="75" spans="1:13" x14ac:dyDescent="0.25">
      <c r="A75" t="s">
        <v>345</v>
      </c>
      <c r="B75" t="s">
        <v>349</v>
      </c>
      <c r="C75">
        <v>1</v>
      </c>
      <c r="E75">
        <v>140</v>
      </c>
      <c r="F75">
        <v>6</v>
      </c>
      <c r="G75">
        <v>5</v>
      </c>
      <c r="H75">
        <v>5</v>
      </c>
      <c r="I75" s="4" t="s">
        <v>26</v>
      </c>
      <c r="J75">
        <v>10</v>
      </c>
      <c r="K75" t="s">
        <v>740</v>
      </c>
      <c r="L75" t="s">
        <v>32</v>
      </c>
      <c r="M75" t="s">
        <v>7</v>
      </c>
    </row>
    <row r="76" spans="1:13" x14ac:dyDescent="0.25">
      <c r="A76" t="s">
        <v>350</v>
      </c>
      <c r="B76" t="s">
        <v>686</v>
      </c>
      <c r="C76">
        <v>16</v>
      </c>
      <c r="E76">
        <v>40</v>
      </c>
      <c r="F76">
        <v>4</v>
      </c>
      <c r="G76">
        <v>3</v>
      </c>
      <c r="H76">
        <v>4</v>
      </c>
      <c r="I76" s="4" t="s">
        <v>26</v>
      </c>
      <c r="J76">
        <v>9</v>
      </c>
      <c r="K76" t="s">
        <v>356</v>
      </c>
      <c r="L76" t="s">
        <v>29</v>
      </c>
      <c r="M76" t="s">
        <v>299</v>
      </c>
    </row>
    <row r="77" spans="1:13" x14ac:dyDescent="0.25">
      <c r="A77" t="s">
        <v>351</v>
      </c>
      <c r="B77" t="s">
        <v>687</v>
      </c>
      <c r="C77">
        <v>2</v>
      </c>
      <c r="E77">
        <v>75</v>
      </c>
      <c r="F77">
        <v>7</v>
      </c>
      <c r="G77">
        <v>3</v>
      </c>
      <c r="H77">
        <v>3</v>
      </c>
      <c r="I77">
        <v>4</v>
      </c>
      <c r="J77">
        <v>8</v>
      </c>
      <c r="K77" t="s">
        <v>36</v>
      </c>
      <c r="L77" t="s">
        <v>7</v>
      </c>
      <c r="M77" t="s">
        <v>301</v>
      </c>
    </row>
    <row r="78" spans="1:13" x14ac:dyDescent="0.25">
      <c r="A78" t="s">
        <v>352</v>
      </c>
      <c r="B78" t="s">
        <v>358</v>
      </c>
      <c r="C78">
        <v>2</v>
      </c>
      <c r="E78">
        <v>95</v>
      </c>
      <c r="F78">
        <v>6</v>
      </c>
      <c r="G78">
        <v>3</v>
      </c>
      <c r="H78">
        <v>3</v>
      </c>
      <c r="I78" s="4" t="s">
        <v>26</v>
      </c>
      <c r="J78">
        <v>9</v>
      </c>
      <c r="K78" t="s">
        <v>741</v>
      </c>
      <c r="L78" t="s">
        <v>294</v>
      </c>
      <c r="M78" t="s">
        <v>28</v>
      </c>
    </row>
    <row r="79" spans="1:13" x14ac:dyDescent="0.25">
      <c r="A79" t="s">
        <v>353</v>
      </c>
      <c r="B79" t="s">
        <v>359</v>
      </c>
      <c r="C79">
        <v>2</v>
      </c>
      <c r="E79">
        <v>125</v>
      </c>
      <c r="F79">
        <v>8</v>
      </c>
      <c r="G79">
        <v>3</v>
      </c>
      <c r="H79">
        <v>3</v>
      </c>
      <c r="I79">
        <v>4</v>
      </c>
      <c r="J79">
        <v>9</v>
      </c>
      <c r="K79" t="s">
        <v>742</v>
      </c>
      <c r="L79" t="s">
        <v>7</v>
      </c>
      <c r="M79" t="s">
        <v>301</v>
      </c>
    </row>
    <row r="80" spans="1:13" x14ac:dyDescent="0.25">
      <c r="A80" t="s">
        <v>354</v>
      </c>
      <c r="B80" t="s">
        <v>360</v>
      </c>
      <c r="C80">
        <v>2</v>
      </c>
      <c r="E80">
        <v>115</v>
      </c>
      <c r="F80">
        <v>4</v>
      </c>
      <c r="G80">
        <v>4</v>
      </c>
      <c r="H80">
        <v>4</v>
      </c>
      <c r="I80" s="4" t="s">
        <v>26</v>
      </c>
      <c r="J80">
        <v>10</v>
      </c>
      <c r="K80" t="s">
        <v>361</v>
      </c>
      <c r="L80" t="s">
        <v>294</v>
      </c>
      <c r="M80" t="s">
        <v>28</v>
      </c>
    </row>
    <row r="81" spans="1:13" x14ac:dyDescent="0.25">
      <c r="A81" t="s">
        <v>529</v>
      </c>
      <c r="B81" t="s">
        <v>1002</v>
      </c>
      <c r="C81">
        <v>16</v>
      </c>
      <c r="E81">
        <v>50</v>
      </c>
      <c r="F81">
        <v>6</v>
      </c>
      <c r="G81">
        <v>3</v>
      </c>
      <c r="H81">
        <v>3</v>
      </c>
      <c r="I81">
        <v>4</v>
      </c>
      <c r="J81">
        <v>8</v>
      </c>
      <c r="K81" t="s">
        <v>1003</v>
      </c>
      <c r="L81" t="s">
        <v>29</v>
      </c>
      <c r="M81" t="s">
        <v>1004</v>
      </c>
    </row>
    <row r="82" spans="1:13" x14ac:dyDescent="0.25">
      <c r="A82" t="s">
        <v>530</v>
      </c>
      <c r="B82" t="s">
        <v>667</v>
      </c>
      <c r="C82">
        <v>2</v>
      </c>
      <c r="E82">
        <v>90</v>
      </c>
      <c r="F82">
        <v>6</v>
      </c>
      <c r="G82">
        <v>3</v>
      </c>
      <c r="H82">
        <v>3</v>
      </c>
      <c r="I82">
        <v>5</v>
      </c>
      <c r="J82">
        <v>8</v>
      </c>
      <c r="K82" t="s">
        <v>773</v>
      </c>
      <c r="L82" t="s">
        <v>294</v>
      </c>
      <c r="M82" t="s">
        <v>295</v>
      </c>
    </row>
    <row r="83" spans="1:13" x14ac:dyDescent="0.25">
      <c r="A83" t="s">
        <v>531</v>
      </c>
      <c r="B83" t="s">
        <v>1005</v>
      </c>
      <c r="C83">
        <v>2</v>
      </c>
      <c r="E83">
        <v>20</v>
      </c>
      <c r="F83">
        <v>5</v>
      </c>
      <c r="G83">
        <v>1</v>
      </c>
      <c r="H83">
        <v>3</v>
      </c>
      <c r="I83" s="4" t="s">
        <v>26</v>
      </c>
      <c r="J83">
        <v>6</v>
      </c>
      <c r="K83" t="s">
        <v>1006</v>
      </c>
      <c r="L83" t="s">
        <v>26</v>
      </c>
      <c r="M83" t="s">
        <v>28</v>
      </c>
    </row>
    <row r="84" spans="1:13" x14ac:dyDescent="0.25">
      <c r="A84" t="s">
        <v>532</v>
      </c>
      <c r="B84" t="s">
        <v>1007</v>
      </c>
      <c r="C84">
        <v>2</v>
      </c>
      <c r="E84">
        <v>95</v>
      </c>
      <c r="F84">
        <v>7</v>
      </c>
      <c r="G84">
        <v>3</v>
      </c>
      <c r="H84">
        <v>3</v>
      </c>
      <c r="I84">
        <v>3</v>
      </c>
      <c r="J84">
        <v>8</v>
      </c>
      <c r="K84" t="s">
        <v>1008</v>
      </c>
      <c r="L84" t="s">
        <v>296</v>
      </c>
      <c r="M84" t="s">
        <v>32</v>
      </c>
    </row>
    <row r="85" spans="1:13" x14ac:dyDescent="0.25">
      <c r="A85" t="s">
        <v>533</v>
      </c>
      <c r="B85" t="s">
        <v>707</v>
      </c>
      <c r="C85">
        <v>2</v>
      </c>
      <c r="E85">
        <v>105</v>
      </c>
      <c r="F85">
        <v>6</v>
      </c>
      <c r="G85">
        <v>4</v>
      </c>
      <c r="H85">
        <v>4</v>
      </c>
      <c r="I85" s="4" t="s">
        <v>26</v>
      </c>
      <c r="J85">
        <v>9</v>
      </c>
      <c r="K85" t="s">
        <v>633</v>
      </c>
      <c r="L85" t="s">
        <v>294</v>
      </c>
      <c r="M85" t="s">
        <v>28</v>
      </c>
    </row>
    <row r="86" spans="1:13" x14ac:dyDescent="0.25">
      <c r="A86" t="s">
        <v>534</v>
      </c>
      <c r="B86" t="s">
        <v>535</v>
      </c>
      <c r="C86">
        <v>1</v>
      </c>
      <c r="E86">
        <v>140</v>
      </c>
      <c r="F86">
        <v>5</v>
      </c>
      <c r="G86">
        <v>5</v>
      </c>
      <c r="H86">
        <v>4</v>
      </c>
      <c r="I86" s="4" t="s">
        <v>26</v>
      </c>
      <c r="J86">
        <v>9</v>
      </c>
      <c r="K86" t="s">
        <v>774</v>
      </c>
      <c r="L86" t="s">
        <v>32</v>
      </c>
      <c r="M86" t="s">
        <v>7</v>
      </c>
    </row>
    <row r="87" spans="1:13" x14ac:dyDescent="0.25">
      <c r="A87" t="s">
        <v>362</v>
      </c>
      <c r="B87" t="s">
        <v>366</v>
      </c>
      <c r="C87">
        <v>12</v>
      </c>
      <c r="E87">
        <v>35</v>
      </c>
      <c r="F87">
        <v>5</v>
      </c>
      <c r="G87">
        <v>3</v>
      </c>
      <c r="H87">
        <v>4</v>
      </c>
      <c r="I87">
        <v>6</v>
      </c>
      <c r="J87">
        <v>9</v>
      </c>
      <c r="K87" t="s">
        <v>743</v>
      </c>
      <c r="L87" t="s">
        <v>303</v>
      </c>
      <c r="M87" t="s">
        <v>299</v>
      </c>
    </row>
    <row r="88" spans="1:13" x14ac:dyDescent="0.25">
      <c r="A88" t="s">
        <v>363</v>
      </c>
      <c r="B88" t="s">
        <v>367</v>
      </c>
      <c r="C88">
        <v>4</v>
      </c>
      <c r="E88">
        <v>75</v>
      </c>
      <c r="F88">
        <v>6</v>
      </c>
      <c r="G88">
        <v>3</v>
      </c>
      <c r="H88">
        <v>3</v>
      </c>
      <c r="I88">
        <v>4</v>
      </c>
      <c r="J88">
        <v>9</v>
      </c>
      <c r="K88" t="s">
        <v>368</v>
      </c>
      <c r="L88" t="s">
        <v>297</v>
      </c>
      <c r="M88" t="s">
        <v>295</v>
      </c>
    </row>
    <row r="89" spans="1:13" x14ac:dyDescent="0.25">
      <c r="A89" t="s">
        <v>364</v>
      </c>
      <c r="B89" t="s">
        <v>369</v>
      </c>
      <c r="C89">
        <v>4</v>
      </c>
      <c r="E89">
        <v>115</v>
      </c>
      <c r="F89">
        <v>4</v>
      </c>
      <c r="G89">
        <v>4</v>
      </c>
      <c r="H89">
        <v>4</v>
      </c>
      <c r="I89">
        <v>6</v>
      </c>
      <c r="J89">
        <v>10</v>
      </c>
      <c r="K89" t="s">
        <v>744</v>
      </c>
      <c r="L89" t="s">
        <v>297</v>
      </c>
      <c r="M89" t="s">
        <v>28</v>
      </c>
    </row>
    <row r="90" spans="1:13" x14ac:dyDescent="0.25">
      <c r="A90" t="s">
        <v>365</v>
      </c>
      <c r="B90" t="s">
        <v>370</v>
      </c>
      <c r="C90">
        <v>1</v>
      </c>
      <c r="E90">
        <v>140</v>
      </c>
      <c r="F90">
        <v>4</v>
      </c>
      <c r="G90">
        <v>5</v>
      </c>
      <c r="H90">
        <v>5</v>
      </c>
      <c r="I90" s="4" t="s">
        <v>26</v>
      </c>
      <c r="J90">
        <v>10</v>
      </c>
      <c r="K90" t="s">
        <v>745</v>
      </c>
      <c r="L90" t="s">
        <v>32</v>
      </c>
      <c r="M90" t="s">
        <v>304</v>
      </c>
    </row>
    <row r="91" spans="1:13" x14ac:dyDescent="0.25">
      <c r="A91" t="s">
        <v>371</v>
      </c>
      <c r="B91" t="s">
        <v>374</v>
      </c>
      <c r="C91">
        <v>16</v>
      </c>
      <c r="E91">
        <v>-15</v>
      </c>
      <c r="F91">
        <v>5</v>
      </c>
      <c r="G91">
        <v>1</v>
      </c>
      <c r="H91">
        <v>3</v>
      </c>
      <c r="I91">
        <v>5</v>
      </c>
      <c r="J91">
        <v>6</v>
      </c>
      <c r="K91" t="s">
        <v>746</v>
      </c>
      <c r="L91" t="s">
        <v>28</v>
      </c>
      <c r="M91" t="s">
        <v>29</v>
      </c>
    </row>
    <row r="92" spans="1:13" x14ac:dyDescent="0.25">
      <c r="A92" t="s">
        <v>372</v>
      </c>
      <c r="B92" t="s">
        <v>375</v>
      </c>
      <c r="C92">
        <v>1</v>
      </c>
      <c r="E92">
        <v>145</v>
      </c>
      <c r="F92">
        <v>5</v>
      </c>
      <c r="G92">
        <v>5</v>
      </c>
      <c r="H92">
        <v>4</v>
      </c>
      <c r="I92">
        <v>4</v>
      </c>
      <c r="J92">
        <v>10</v>
      </c>
      <c r="K92" t="s">
        <v>747</v>
      </c>
      <c r="L92" t="s">
        <v>301</v>
      </c>
      <c r="M92" t="s">
        <v>7</v>
      </c>
    </row>
    <row r="93" spans="1:13" x14ac:dyDescent="0.25">
      <c r="A93" t="s">
        <v>373</v>
      </c>
      <c r="B93" t="s">
        <v>376</v>
      </c>
      <c r="C93">
        <v>5</v>
      </c>
      <c r="E93">
        <v>140</v>
      </c>
      <c r="F93">
        <v>5</v>
      </c>
      <c r="G93">
        <v>5</v>
      </c>
      <c r="H93">
        <v>4</v>
      </c>
      <c r="I93">
        <v>5</v>
      </c>
      <c r="J93">
        <v>10</v>
      </c>
      <c r="K93" t="s">
        <v>748</v>
      </c>
      <c r="L93" t="s">
        <v>32</v>
      </c>
      <c r="M93" t="s">
        <v>296</v>
      </c>
    </row>
    <row r="94" spans="1:13" x14ac:dyDescent="0.25">
      <c r="A94" t="s">
        <v>377</v>
      </c>
      <c r="B94" t="s">
        <v>383</v>
      </c>
      <c r="C94">
        <v>16</v>
      </c>
      <c r="E94">
        <v>50</v>
      </c>
      <c r="F94">
        <v>5</v>
      </c>
      <c r="G94">
        <v>3</v>
      </c>
      <c r="H94">
        <v>3</v>
      </c>
      <c r="I94">
        <v>4</v>
      </c>
      <c r="J94">
        <v>10</v>
      </c>
      <c r="K94" t="s">
        <v>758</v>
      </c>
      <c r="L94" t="s">
        <v>29</v>
      </c>
      <c r="M94" t="s">
        <v>299</v>
      </c>
    </row>
    <row r="95" spans="1:13" x14ac:dyDescent="0.25">
      <c r="A95" t="s">
        <v>378</v>
      </c>
      <c r="B95" t="s">
        <v>482</v>
      </c>
      <c r="C95">
        <v>2</v>
      </c>
      <c r="E95">
        <v>65</v>
      </c>
      <c r="F95">
        <v>5</v>
      </c>
      <c r="G95">
        <v>3</v>
      </c>
      <c r="H95">
        <v>3</v>
      </c>
      <c r="I95">
        <v>3</v>
      </c>
      <c r="J95">
        <v>9</v>
      </c>
      <c r="K95" t="s">
        <v>759</v>
      </c>
      <c r="L95" t="s">
        <v>302</v>
      </c>
      <c r="M95" t="s">
        <v>299</v>
      </c>
    </row>
    <row r="96" spans="1:13" x14ac:dyDescent="0.25">
      <c r="A96" t="s">
        <v>379</v>
      </c>
      <c r="B96" t="s">
        <v>483</v>
      </c>
      <c r="C96">
        <v>4</v>
      </c>
      <c r="E96">
        <v>80</v>
      </c>
      <c r="F96">
        <v>6</v>
      </c>
      <c r="G96">
        <v>3</v>
      </c>
      <c r="H96">
        <v>3</v>
      </c>
      <c r="I96">
        <v>4</v>
      </c>
      <c r="J96">
        <v>10</v>
      </c>
      <c r="K96" t="s">
        <v>760</v>
      </c>
      <c r="L96" t="s">
        <v>294</v>
      </c>
      <c r="M96" t="s">
        <v>295</v>
      </c>
    </row>
    <row r="97" spans="1:13" x14ac:dyDescent="0.25">
      <c r="A97" t="s">
        <v>380</v>
      </c>
      <c r="B97" t="s">
        <v>384</v>
      </c>
      <c r="C97">
        <v>4</v>
      </c>
      <c r="E97">
        <v>90</v>
      </c>
      <c r="F97">
        <v>5</v>
      </c>
      <c r="G97">
        <v>4</v>
      </c>
      <c r="H97">
        <v>4</v>
      </c>
      <c r="I97" s="4" t="s">
        <v>26</v>
      </c>
      <c r="J97">
        <v>10</v>
      </c>
      <c r="K97" t="s">
        <v>761</v>
      </c>
      <c r="L97" t="s">
        <v>294</v>
      </c>
      <c r="M97" t="s">
        <v>28</v>
      </c>
    </row>
    <row r="98" spans="1:13" x14ac:dyDescent="0.25">
      <c r="A98" t="s">
        <v>381</v>
      </c>
      <c r="B98" t="s">
        <v>100</v>
      </c>
      <c r="C98">
        <v>4</v>
      </c>
      <c r="E98">
        <v>40</v>
      </c>
      <c r="F98">
        <v>6</v>
      </c>
      <c r="G98">
        <v>2</v>
      </c>
      <c r="H98">
        <v>3</v>
      </c>
      <c r="I98">
        <v>4</v>
      </c>
      <c r="J98">
        <v>8</v>
      </c>
      <c r="K98" t="s">
        <v>728</v>
      </c>
      <c r="L98" t="s">
        <v>28</v>
      </c>
      <c r="M98" t="s">
        <v>294</v>
      </c>
    </row>
    <row r="99" spans="1:13" x14ac:dyDescent="0.25">
      <c r="A99" t="s">
        <v>382</v>
      </c>
      <c r="B99" t="s">
        <v>385</v>
      </c>
      <c r="C99">
        <v>1</v>
      </c>
      <c r="E99">
        <v>115</v>
      </c>
      <c r="F99">
        <v>4</v>
      </c>
      <c r="G99">
        <v>5</v>
      </c>
      <c r="H99">
        <v>5</v>
      </c>
      <c r="I99">
        <v>5</v>
      </c>
      <c r="J99">
        <v>10</v>
      </c>
      <c r="K99" t="s">
        <v>719</v>
      </c>
      <c r="L99" t="s">
        <v>32</v>
      </c>
      <c r="M99" t="s">
        <v>296</v>
      </c>
    </row>
    <row r="100" spans="1:13" x14ac:dyDescent="0.25">
      <c r="A100" t="s">
        <v>145</v>
      </c>
      <c r="B100" t="s">
        <v>156</v>
      </c>
      <c r="C100">
        <v>12</v>
      </c>
      <c r="E100">
        <v>50</v>
      </c>
      <c r="F100">
        <v>6</v>
      </c>
      <c r="G100">
        <v>3</v>
      </c>
      <c r="H100">
        <v>3</v>
      </c>
      <c r="I100">
        <v>4</v>
      </c>
      <c r="J100">
        <v>9</v>
      </c>
      <c r="K100" t="s">
        <v>166</v>
      </c>
      <c r="L100" t="s">
        <v>29</v>
      </c>
      <c r="M100" t="s">
        <v>299</v>
      </c>
    </row>
    <row r="101" spans="1:13" x14ac:dyDescent="0.25">
      <c r="A101" t="s">
        <v>146</v>
      </c>
      <c r="B101" t="s">
        <v>157</v>
      </c>
      <c r="C101">
        <v>1</v>
      </c>
      <c r="E101">
        <v>80</v>
      </c>
      <c r="F101">
        <v>6</v>
      </c>
      <c r="G101">
        <v>3</v>
      </c>
      <c r="H101">
        <v>3</v>
      </c>
      <c r="I101">
        <v>3</v>
      </c>
      <c r="J101">
        <v>9</v>
      </c>
      <c r="K101" t="s">
        <v>749</v>
      </c>
      <c r="L101" t="s">
        <v>302</v>
      </c>
      <c r="M101" t="s">
        <v>299</v>
      </c>
    </row>
    <row r="102" spans="1:13" x14ac:dyDescent="0.25">
      <c r="A102" t="s">
        <v>147</v>
      </c>
      <c r="B102" t="s">
        <v>158</v>
      </c>
      <c r="C102">
        <v>1</v>
      </c>
      <c r="E102">
        <v>65</v>
      </c>
      <c r="F102">
        <v>8</v>
      </c>
      <c r="G102">
        <v>2</v>
      </c>
      <c r="H102">
        <v>3</v>
      </c>
      <c r="I102">
        <v>5</v>
      </c>
      <c r="J102">
        <v>8</v>
      </c>
      <c r="K102" t="s">
        <v>750</v>
      </c>
      <c r="L102" t="s">
        <v>7</v>
      </c>
      <c r="M102" t="s">
        <v>32</v>
      </c>
    </row>
    <row r="103" spans="1:13" x14ac:dyDescent="0.25">
      <c r="A103" t="s">
        <v>148</v>
      </c>
      <c r="B103" t="s">
        <v>159</v>
      </c>
      <c r="C103">
        <v>1</v>
      </c>
      <c r="E103">
        <v>90</v>
      </c>
      <c r="F103">
        <v>7</v>
      </c>
      <c r="G103">
        <v>3</v>
      </c>
      <c r="H103">
        <v>3</v>
      </c>
      <c r="I103">
        <v>4</v>
      </c>
      <c r="J103">
        <v>9</v>
      </c>
      <c r="K103" t="s">
        <v>751</v>
      </c>
      <c r="L103" t="s">
        <v>294</v>
      </c>
      <c r="M103" t="s">
        <v>28</v>
      </c>
    </row>
    <row r="104" spans="1:13" x14ac:dyDescent="0.25">
      <c r="A104" t="s">
        <v>149</v>
      </c>
      <c r="B104" t="s">
        <v>160</v>
      </c>
      <c r="C104">
        <v>2</v>
      </c>
      <c r="E104">
        <v>75</v>
      </c>
      <c r="F104">
        <v>4</v>
      </c>
      <c r="G104">
        <v>3</v>
      </c>
      <c r="H104">
        <v>4</v>
      </c>
      <c r="I104">
        <v>5</v>
      </c>
      <c r="J104">
        <v>10</v>
      </c>
      <c r="K104" t="s">
        <v>752</v>
      </c>
      <c r="L104" t="s">
        <v>294</v>
      </c>
      <c r="M104" t="s">
        <v>28</v>
      </c>
    </row>
    <row r="105" spans="1:13" x14ac:dyDescent="0.25">
      <c r="A105" t="s">
        <v>150</v>
      </c>
      <c r="B105" t="s">
        <v>161</v>
      </c>
      <c r="C105">
        <v>1</v>
      </c>
      <c r="E105">
        <v>85</v>
      </c>
      <c r="F105">
        <v>6</v>
      </c>
      <c r="G105">
        <v>3</v>
      </c>
      <c r="H105">
        <v>3</v>
      </c>
      <c r="I105">
        <v>4</v>
      </c>
      <c r="J105">
        <v>9</v>
      </c>
      <c r="K105" t="s">
        <v>753</v>
      </c>
      <c r="L105" t="s">
        <v>302</v>
      </c>
      <c r="M105" t="s">
        <v>299</v>
      </c>
    </row>
    <row r="106" spans="1:13" x14ac:dyDescent="0.25">
      <c r="A106" t="s">
        <v>151</v>
      </c>
      <c r="B106" t="s">
        <v>162</v>
      </c>
      <c r="C106">
        <v>1</v>
      </c>
      <c r="E106">
        <v>80</v>
      </c>
      <c r="F106">
        <v>5</v>
      </c>
      <c r="G106">
        <v>3</v>
      </c>
      <c r="H106">
        <v>3</v>
      </c>
      <c r="I106">
        <v>4</v>
      </c>
      <c r="J106">
        <v>10</v>
      </c>
      <c r="K106" t="s">
        <v>754</v>
      </c>
      <c r="L106" t="s">
        <v>294</v>
      </c>
      <c r="M106" t="s">
        <v>28</v>
      </c>
    </row>
    <row r="107" spans="1:13" x14ac:dyDescent="0.25">
      <c r="A107" t="s">
        <v>152</v>
      </c>
      <c r="B107" t="s">
        <v>163</v>
      </c>
      <c r="C107">
        <v>1</v>
      </c>
      <c r="E107">
        <v>95</v>
      </c>
      <c r="F107">
        <v>5</v>
      </c>
      <c r="G107">
        <v>3</v>
      </c>
      <c r="H107">
        <v>4</v>
      </c>
      <c r="I107" s="4" t="s">
        <v>26</v>
      </c>
      <c r="J107">
        <v>9</v>
      </c>
      <c r="K107" t="s">
        <v>755</v>
      </c>
      <c r="L107" t="s">
        <v>294</v>
      </c>
      <c r="M107" t="s">
        <v>28</v>
      </c>
    </row>
    <row r="108" spans="1:13" x14ac:dyDescent="0.25">
      <c r="A108" t="s">
        <v>153</v>
      </c>
      <c r="B108" t="s">
        <v>522</v>
      </c>
      <c r="C108">
        <v>2</v>
      </c>
      <c r="E108">
        <v>30</v>
      </c>
      <c r="F108">
        <v>5</v>
      </c>
      <c r="G108">
        <v>2</v>
      </c>
      <c r="H108">
        <v>3</v>
      </c>
      <c r="I108">
        <v>4</v>
      </c>
      <c r="J108">
        <v>7</v>
      </c>
      <c r="K108" t="s">
        <v>756</v>
      </c>
      <c r="L108" t="s">
        <v>28</v>
      </c>
      <c r="M108" t="s">
        <v>294</v>
      </c>
    </row>
    <row r="109" spans="1:13" x14ac:dyDescent="0.25">
      <c r="A109" t="s">
        <v>154</v>
      </c>
      <c r="B109" t="s">
        <v>490</v>
      </c>
      <c r="C109">
        <v>1</v>
      </c>
      <c r="D109" t="s">
        <v>165</v>
      </c>
      <c r="E109">
        <v>140</v>
      </c>
      <c r="F109">
        <v>5</v>
      </c>
      <c r="G109">
        <v>5</v>
      </c>
      <c r="H109">
        <v>4</v>
      </c>
      <c r="I109">
        <v>5</v>
      </c>
      <c r="J109">
        <v>10</v>
      </c>
      <c r="K109" t="s">
        <v>720</v>
      </c>
      <c r="L109" t="s">
        <v>32</v>
      </c>
      <c r="M109" t="s">
        <v>7</v>
      </c>
    </row>
    <row r="110" spans="1:13" x14ac:dyDescent="0.25">
      <c r="A110" t="s">
        <v>155</v>
      </c>
      <c r="B110" t="s">
        <v>688</v>
      </c>
      <c r="C110">
        <v>1</v>
      </c>
      <c r="D110" t="s">
        <v>165</v>
      </c>
      <c r="E110">
        <v>120</v>
      </c>
      <c r="F110">
        <v>2</v>
      </c>
      <c r="G110">
        <v>6</v>
      </c>
      <c r="H110">
        <v>5</v>
      </c>
      <c r="I110">
        <v>5</v>
      </c>
      <c r="J110">
        <v>11</v>
      </c>
      <c r="K110" t="s">
        <v>757</v>
      </c>
      <c r="L110" t="s">
        <v>32</v>
      </c>
      <c r="M110" t="s">
        <v>296</v>
      </c>
    </row>
    <row r="111" spans="1:13" x14ac:dyDescent="0.25">
      <c r="A111" t="s">
        <v>397</v>
      </c>
      <c r="B111" t="s">
        <v>402</v>
      </c>
      <c r="C111">
        <v>16</v>
      </c>
      <c r="E111">
        <v>50</v>
      </c>
      <c r="F111">
        <v>7</v>
      </c>
      <c r="G111">
        <v>3</v>
      </c>
      <c r="H111">
        <v>3</v>
      </c>
      <c r="I111">
        <v>4</v>
      </c>
      <c r="J111">
        <v>8</v>
      </c>
      <c r="K111" t="s">
        <v>166</v>
      </c>
      <c r="L111" t="s">
        <v>29</v>
      </c>
      <c r="M111" t="s">
        <v>309</v>
      </c>
    </row>
    <row r="112" spans="1:13" x14ac:dyDescent="0.25">
      <c r="A112" t="s">
        <v>398</v>
      </c>
      <c r="B112" t="s">
        <v>426</v>
      </c>
      <c r="C112">
        <v>2</v>
      </c>
      <c r="E112">
        <v>85</v>
      </c>
      <c r="F112">
        <v>7</v>
      </c>
      <c r="G112">
        <v>3</v>
      </c>
      <c r="H112">
        <v>3</v>
      </c>
      <c r="I112">
        <v>2</v>
      </c>
      <c r="J112">
        <v>8</v>
      </c>
      <c r="K112" t="s">
        <v>328</v>
      </c>
      <c r="L112" t="s">
        <v>302</v>
      </c>
      <c r="M112" t="s">
        <v>309</v>
      </c>
    </row>
    <row r="113" spans="1:13" x14ac:dyDescent="0.25">
      <c r="A113" t="s">
        <v>399</v>
      </c>
      <c r="B113" t="s">
        <v>484</v>
      </c>
      <c r="C113">
        <v>4</v>
      </c>
      <c r="E113">
        <v>85</v>
      </c>
      <c r="F113">
        <v>9</v>
      </c>
      <c r="G113">
        <v>2</v>
      </c>
      <c r="H113">
        <v>2</v>
      </c>
      <c r="I113">
        <v>4</v>
      </c>
      <c r="J113">
        <v>8</v>
      </c>
      <c r="K113" t="s">
        <v>36</v>
      </c>
      <c r="L113" t="s">
        <v>7</v>
      </c>
      <c r="M113" t="s">
        <v>310</v>
      </c>
    </row>
    <row r="114" spans="1:13" x14ac:dyDescent="0.25">
      <c r="A114" t="s">
        <v>400</v>
      </c>
      <c r="B114" t="s">
        <v>427</v>
      </c>
      <c r="C114">
        <v>2</v>
      </c>
      <c r="E114">
        <v>90</v>
      </c>
      <c r="F114">
        <v>7</v>
      </c>
      <c r="G114">
        <v>3</v>
      </c>
      <c r="H114">
        <v>3</v>
      </c>
      <c r="I114">
        <v>5</v>
      </c>
      <c r="J114">
        <v>9</v>
      </c>
      <c r="K114" t="s">
        <v>45</v>
      </c>
      <c r="L114" t="s">
        <v>294</v>
      </c>
      <c r="M114" t="s">
        <v>308</v>
      </c>
    </row>
    <row r="115" spans="1:13" x14ac:dyDescent="0.25">
      <c r="A115" t="s">
        <v>401</v>
      </c>
      <c r="B115" t="s">
        <v>403</v>
      </c>
      <c r="C115">
        <v>1</v>
      </c>
      <c r="E115">
        <v>150</v>
      </c>
      <c r="F115">
        <v>6</v>
      </c>
      <c r="G115">
        <v>5</v>
      </c>
      <c r="H115">
        <v>4</v>
      </c>
      <c r="I115" s="4" t="s">
        <v>26</v>
      </c>
      <c r="J115">
        <v>9</v>
      </c>
      <c r="K115" t="s">
        <v>715</v>
      </c>
      <c r="L115" t="s">
        <v>32</v>
      </c>
      <c r="M115" t="s">
        <v>304</v>
      </c>
    </row>
    <row r="116" spans="1:13" x14ac:dyDescent="0.25">
      <c r="A116" t="s">
        <v>462</v>
      </c>
      <c r="B116" t="s">
        <v>466</v>
      </c>
      <c r="C116">
        <v>16</v>
      </c>
      <c r="E116">
        <v>60</v>
      </c>
      <c r="F116">
        <v>6</v>
      </c>
      <c r="G116">
        <v>3</v>
      </c>
      <c r="H116">
        <v>3</v>
      </c>
      <c r="I116">
        <v>4</v>
      </c>
      <c r="J116">
        <v>9</v>
      </c>
      <c r="K116" t="s">
        <v>699</v>
      </c>
      <c r="L116" t="s">
        <v>29</v>
      </c>
      <c r="M116" t="s">
        <v>696</v>
      </c>
    </row>
    <row r="117" spans="1:13" x14ac:dyDescent="0.25">
      <c r="A117" t="s">
        <v>463</v>
      </c>
      <c r="B117" t="s">
        <v>488</v>
      </c>
      <c r="C117">
        <v>4</v>
      </c>
      <c r="E117">
        <v>80</v>
      </c>
      <c r="F117">
        <v>7</v>
      </c>
      <c r="G117">
        <v>2</v>
      </c>
      <c r="H117">
        <v>2</v>
      </c>
      <c r="I117">
        <v>4</v>
      </c>
      <c r="J117">
        <v>8</v>
      </c>
      <c r="K117" t="s">
        <v>697</v>
      </c>
      <c r="L117" t="s">
        <v>7</v>
      </c>
      <c r="M117" t="s">
        <v>301</v>
      </c>
    </row>
    <row r="118" spans="1:13" x14ac:dyDescent="0.25">
      <c r="A118" t="s">
        <v>464</v>
      </c>
      <c r="B118" t="s">
        <v>489</v>
      </c>
      <c r="C118">
        <v>4</v>
      </c>
      <c r="E118">
        <v>110</v>
      </c>
      <c r="F118">
        <v>7</v>
      </c>
      <c r="G118">
        <v>3</v>
      </c>
      <c r="H118">
        <v>3</v>
      </c>
      <c r="I118">
        <v>4</v>
      </c>
      <c r="J118">
        <v>9</v>
      </c>
      <c r="K118" t="s">
        <v>698</v>
      </c>
      <c r="L118" t="s">
        <v>670</v>
      </c>
      <c r="M118" t="s">
        <v>31</v>
      </c>
    </row>
    <row r="119" spans="1:13" x14ac:dyDescent="0.25">
      <c r="A119" t="s">
        <v>465</v>
      </c>
      <c r="B119" t="s">
        <v>349</v>
      </c>
      <c r="C119">
        <v>1</v>
      </c>
      <c r="E119">
        <v>140</v>
      </c>
      <c r="F119">
        <v>6</v>
      </c>
      <c r="G119">
        <v>5</v>
      </c>
      <c r="H119">
        <v>5</v>
      </c>
      <c r="I119" s="4" t="s">
        <v>26</v>
      </c>
      <c r="J119">
        <v>10</v>
      </c>
      <c r="K119" t="s">
        <v>740</v>
      </c>
      <c r="L119" t="s">
        <v>32</v>
      </c>
      <c r="M119" t="s">
        <v>7</v>
      </c>
    </row>
    <row r="120" spans="1:13" x14ac:dyDescent="0.25">
      <c r="A120" t="s">
        <v>404</v>
      </c>
      <c r="B120" t="s">
        <v>410</v>
      </c>
      <c r="C120">
        <v>16</v>
      </c>
      <c r="E120">
        <v>-15</v>
      </c>
      <c r="F120">
        <v>5</v>
      </c>
      <c r="G120">
        <v>1</v>
      </c>
      <c r="H120">
        <v>3</v>
      </c>
      <c r="I120">
        <v>5</v>
      </c>
      <c r="J120">
        <v>6</v>
      </c>
      <c r="K120" t="s">
        <v>762</v>
      </c>
      <c r="L120" t="s">
        <v>28</v>
      </c>
      <c r="M120" t="s">
        <v>29</v>
      </c>
    </row>
    <row r="121" spans="1:13" x14ac:dyDescent="0.25">
      <c r="A121" t="s">
        <v>405</v>
      </c>
      <c r="B121" t="s">
        <v>411</v>
      </c>
      <c r="C121">
        <v>2</v>
      </c>
      <c r="E121">
        <v>30</v>
      </c>
      <c r="F121">
        <v>5</v>
      </c>
      <c r="G121">
        <v>1</v>
      </c>
      <c r="H121">
        <v>3</v>
      </c>
      <c r="I121">
        <v>4</v>
      </c>
      <c r="J121">
        <v>6</v>
      </c>
      <c r="K121" t="s">
        <v>763</v>
      </c>
      <c r="L121" t="s">
        <v>295</v>
      </c>
      <c r="M121" t="s">
        <v>29</v>
      </c>
    </row>
    <row r="122" spans="1:13" x14ac:dyDescent="0.25">
      <c r="A122" t="s">
        <v>406</v>
      </c>
      <c r="B122" t="s">
        <v>412</v>
      </c>
      <c r="C122">
        <v>2</v>
      </c>
      <c r="E122">
        <v>20</v>
      </c>
      <c r="F122">
        <v>6</v>
      </c>
      <c r="G122">
        <v>1</v>
      </c>
      <c r="H122">
        <v>3</v>
      </c>
      <c r="I122">
        <v>5</v>
      </c>
      <c r="J122">
        <v>6</v>
      </c>
      <c r="K122" t="s">
        <v>764</v>
      </c>
      <c r="L122" t="s">
        <v>28</v>
      </c>
      <c r="M122" t="s">
        <v>29</v>
      </c>
    </row>
    <row r="123" spans="1:13" x14ac:dyDescent="0.25">
      <c r="A123" t="s">
        <v>407</v>
      </c>
      <c r="B123" t="s">
        <v>413</v>
      </c>
      <c r="C123">
        <v>2</v>
      </c>
      <c r="E123">
        <v>20</v>
      </c>
      <c r="F123">
        <v>6</v>
      </c>
      <c r="G123">
        <v>1</v>
      </c>
      <c r="H123">
        <v>3</v>
      </c>
      <c r="I123">
        <v>5</v>
      </c>
      <c r="J123">
        <v>6</v>
      </c>
      <c r="K123" t="s">
        <v>765</v>
      </c>
      <c r="L123" t="s">
        <v>28</v>
      </c>
      <c r="M123" t="s">
        <v>29</v>
      </c>
    </row>
    <row r="124" spans="1:13" x14ac:dyDescent="0.25">
      <c r="A124" t="s">
        <v>408</v>
      </c>
      <c r="B124" t="s">
        <v>414</v>
      </c>
      <c r="C124">
        <v>2</v>
      </c>
      <c r="E124">
        <v>105</v>
      </c>
      <c r="F124">
        <v>4</v>
      </c>
      <c r="G124">
        <v>5</v>
      </c>
      <c r="H124">
        <v>5</v>
      </c>
      <c r="I124" s="4" t="s">
        <v>26</v>
      </c>
      <c r="J124">
        <v>9</v>
      </c>
      <c r="K124" t="s">
        <v>766</v>
      </c>
      <c r="L124" t="s">
        <v>32</v>
      </c>
      <c r="M124" t="s">
        <v>7</v>
      </c>
    </row>
    <row r="125" spans="1:13" x14ac:dyDescent="0.25">
      <c r="A125" t="s">
        <v>409</v>
      </c>
      <c r="B125" t="s">
        <v>215</v>
      </c>
      <c r="C125">
        <v>2</v>
      </c>
      <c r="E125">
        <v>115</v>
      </c>
      <c r="F125">
        <v>4</v>
      </c>
      <c r="G125">
        <v>5</v>
      </c>
      <c r="H125">
        <v>5</v>
      </c>
      <c r="I125">
        <v>5</v>
      </c>
      <c r="J125">
        <v>10</v>
      </c>
      <c r="K125" t="s">
        <v>718</v>
      </c>
      <c r="L125" t="s">
        <v>32</v>
      </c>
      <c r="M125" t="s">
        <v>296</v>
      </c>
    </row>
    <row r="126" spans="1:13" x14ac:dyDescent="0.25">
      <c r="A126" t="s">
        <v>386</v>
      </c>
      <c r="B126" t="s">
        <v>391</v>
      </c>
      <c r="C126">
        <v>12</v>
      </c>
      <c r="E126">
        <v>40</v>
      </c>
      <c r="F126">
        <v>5</v>
      </c>
      <c r="G126">
        <v>3</v>
      </c>
      <c r="H126">
        <v>4</v>
      </c>
      <c r="I126">
        <v>6</v>
      </c>
      <c r="J126">
        <v>8</v>
      </c>
      <c r="K126" t="s">
        <v>392</v>
      </c>
      <c r="L126" t="s">
        <v>29</v>
      </c>
      <c r="M126" t="s">
        <v>299</v>
      </c>
    </row>
    <row r="127" spans="1:13" x14ac:dyDescent="0.25">
      <c r="A127" t="s">
        <v>387</v>
      </c>
      <c r="B127" t="s">
        <v>355</v>
      </c>
      <c r="C127">
        <v>12</v>
      </c>
      <c r="E127">
        <v>40</v>
      </c>
      <c r="F127">
        <v>4</v>
      </c>
      <c r="G127">
        <v>3</v>
      </c>
      <c r="H127">
        <v>4</v>
      </c>
      <c r="I127" s="4" t="s">
        <v>26</v>
      </c>
      <c r="J127">
        <v>9</v>
      </c>
      <c r="K127" t="s">
        <v>356</v>
      </c>
      <c r="L127" t="s">
        <v>29</v>
      </c>
      <c r="M127" t="s">
        <v>299</v>
      </c>
    </row>
    <row r="128" spans="1:13" x14ac:dyDescent="0.25">
      <c r="A128" t="s">
        <v>388</v>
      </c>
      <c r="B128" t="s">
        <v>357</v>
      </c>
      <c r="C128">
        <v>4</v>
      </c>
      <c r="E128">
        <v>75</v>
      </c>
      <c r="F128">
        <v>7</v>
      </c>
      <c r="G128">
        <v>3</v>
      </c>
      <c r="H128">
        <v>3</v>
      </c>
      <c r="I128">
        <v>4</v>
      </c>
      <c r="J128">
        <v>8</v>
      </c>
      <c r="K128" t="s">
        <v>36</v>
      </c>
      <c r="L128" t="s">
        <v>7</v>
      </c>
      <c r="M128" t="s">
        <v>301</v>
      </c>
    </row>
    <row r="129" spans="1:13" x14ac:dyDescent="0.25">
      <c r="A129" t="s">
        <v>389</v>
      </c>
      <c r="B129" t="s">
        <v>393</v>
      </c>
      <c r="C129">
        <v>2</v>
      </c>
      <c r="E129">
        <v>90</v>
      </c>
      <c r="F129">
        <v>6</v>
      </c>
      <c r="G129">
        <v>3</v>
      </c>
      <c r="H129">
        <v>3</v>
      </c>
      <c r="I129">
        <v>5</v>
      </c>
      <c r="J129">
        <v>9</v>
      </c>
      <c r="K129" t="s">
        <v>394</v>
      </c>
      <c r="L129" t="s">
        <v>294</v>
      </c>
      <c r="M129" t="s">
        <v>295</v>
      </c>
    </row>
    <row r="130" spans="1:13" x14ac:dyDescent="0.25">
      <c r="A130" t="s">
        <v>390</v>
      </c>
      <c r="B130" t="s">
        <v>395</v>
      </c>
      <c r="C130">
        <v>2</v>
      </c>
      <c r="E130">
        <v>125</v>
      </c>
      <c r="F130">
        <v>3</v>
      </c>
      <c r="G130">
        <v>5</v>
      </c>
      <c r="H130">
        <v>5</v>
      </c>
      <c r="I130" s="4" t="s">
        <v>26</v>
      </c>
      <c r="J130">
        <v>10</v>
      </c>
      <c r="K130" t="s">
        <v>396</v>
      </c>
      <c r="L130" t="s">
        <v>32</v>
      </c>
      <c r="M130" t="s">
        <v>7</v>
      </c>
    </row>
    <row r="131" spans="1:13" x14ac:dyDescent="0.25">
      <c r="A131" t="s">
        <v>828</v>
      </c>
      <c r="B131" t="s">
        <v>391</v>
      </c>
      <c r="C131">
        <v>16</v>
      </c>
      <c r="E131">
        <v>40</v>
      </c>
      <c r="F131">
        <v>5</v>
      </c>
      <c r="G131">
        <v>3</v>
      </c>
      <c r="H131">
        <v>4</v>
      </c>
      <c r="I131">
        <v>6</v>
      </c>
      <c r="J131">
        <v>8</v>
      </c>
      <c r="K131" t="s">
        <v>392</v>
      </c>
      <c r="L131" t="s">
        <v>29</v>
      </c>
      <c r="M131" t="s">
        <v>299</v>
      </c>
    </row>
    <row r="132" spans="1:13" x14ac:dyDescent="0.25">
      <c r="A132" t="s">
        <v>829</v>
      </c>
      <c r="B132" t="s">
        <v>459</v>
      </c>
      <c r="C132">
        <v>2</v>
      </c>
      <c r="E132">
        <v>70</v>
      </c>
      <c r="F132">
        <v>6</v>
      </c>
      <c r="G132">
        <v>3</v>
      </c>
      <c r="H132">
        <v>4</v>
      </c>
      <c r="I132">
        <v>3</v>
      </c>
      <c r="J132">
        <v>8</v>
      </c>
      <c r="K132" t="s">
        <v>668</v>
      </c>
      <c r="L132" t="s">
        <v>302</v>
      </c>
      <c r="M132" t="s">
        <v>28</v>
      </c>
    </row>
    <row r="133" spans="1:13" x14ac:dyDescent="0.25">
      <c r="A133" t="s">
        <v>830</v>
      </c>
      <c r="B133" t="s">
        <v>460</v>
      </c>
      <c r="C133">
        <v>2</v>
      </c>
      <c r="E133">
        <v>90</v>
      </c>
      <c r="F133">
        <v>6</v>
      </c>
      <c r="G133">
        <v>3</v>
      </c>
      <c r="H133">
        <v>4</v>
      </c>
      <c r="I133">
        <v>6</v>
      </c>
      <c r="J133">
        <v>9</v>
      </c>
      <c r="K133" t="s">
        <v>669</v>
      </c>
      <c r="L133" t="s">
        <v>294</v>
      </c>
      <c r="M133" t="s">
        <v>295</v>
      </c>
    </row>
    <row r="134" spans="1:13" x14ac:dyDescent="0.25">
      <c r="A134" t="s">
        <v>831</v>
      </c>
      <c r="B134" t="s">
        <v>461</v>
      </c>
      <c r="C134">
        <v>4</v>
      </c>
      <c r="E134">
        <v>100</v>
      </c>
      <c r="F134">
        <v>4</v>
      </c>
      <c r="G134">
        <v>5</v>
      </c>
      <c r="H134">
        <v>5</v>
      </c>
      <c r="I134" s="4" t="s">
        <v>26</v>
      </c>
      <c r="J134">
        <v>10</v>
      </c>
      <c r="K134" t="s">
        <v>772</v>
      </c>
      <c r="L134" t="s">
        <v>32</v>
      </c>
      <c r="M134" t="s">
        <v>7</v>
      </c>
    </row>
    <row r="135" spans="1:13" x14ac:dyDescent="0.25">
      <c r="A135" t="s">
        <v>416</v>
      </c>
      <c r="B135" t="s">
        <v>424</v>
      </c>
      <c r="C135">
        <v>12</v>
      </c>
      <c r="E135">
        <v>40</v>
      </c>
      <c r="F135">
        <v>6</v>
      </c>
      <c r="G135">
        <v>2</v>
      </c>
      <c r="H135">
        <v>3</v>
      </c>
      <c r="I135">
        <v>4</v>
      </c>
      <c r="J135">
        <v>8</v>
      </c>
      <c r="K135" t="s">
        <v>728</v>
      </c>
      <c r="L135" t="s">
        <v>118</v>
      </c>
      <c r="M135" t="s">
        <v>294</v>
      </c>
    </row>
    <row r="136" spans="1:13" x14ac:dyDescent="0.25">
      <c r="A136" t="s">
        <v>417</v>
      </c>
      <c r="B136" t="s">
        <v>425</v>
      </c>
      <c r="C136">
        <v>6</v>
      </c>
      <c r="E136">
        <v>15</v>
      </c>
      <c r="F136">
        <v>5</v>
      </c>
      <c r="G136">
        <v>1</v>
      </c>
      <c r="H136">
        <v>3</v>
      </c>
      <c r="I136">
        <v>5</v>
      </c>
      <c r="J136">
        <v>6</v>
      </c>
      <c r="K136" t="s">
        <v>762</v>
      </c>
      <c r="L136" t="s">
        <v>118</v>
      </c>
      <c r="M136" t="s">
        <v>29</v>
      </c>
    </row>
    <row r="137" spans="1:13" x14ac:dyDescent="0.25">
      <c r="A137" t="s">
        <v>418</v>
      </c>
      <c r="B137" t="s">
        <v>491</v>
      </c>
      <c r="C137">
        <v>3</v>
      </c>
      <c r="E137">
        <v>50</v>
      </c>
      <c r="F137">
        <v>7</v>
      </c>
      <c r="G137">
        <v>3</v>
      </c>
      <c r="H137">
        <v>3</v>
      </c>
      <c r="I137">
        <v>4</v>
      </c>
      <c r="J137">
        <v>8</v>
      </c>
      <c r="K137" t="s">
        <v>767</v>
      </c>
      <c r="L137" t="s">
        <v>303</v>
      </c>
      <c r="M137" t="s">
        <v>299</v>
      </c>
    </row>
    <row r="138" spans="1:13" x14ac:dyDescent="0.25">
      <c r="A138" t="s">
        <v>419</v>
      </c>
      <c r="B138" t="s">
        <v>492</v>
      </c>
      <c r="C138">
        <v>1</v>
      </c>
      <c r="E138">
        <v>85</v>
      </c>
      <c r="F138">
        <v>7</v>
      </c>
      <c r="G138">
        <v>3</v>
      </c>
      <c r="H138">
        <v>3</v>
      </c>
      <c r="I138">
        <v>2</v>
      </c>
      <c r="J138">
        <v>8</v>
      </c>
      <c r="K138" t="s">
        <v>768</v>
      </c>
      <c r="L138" t="s">
        <v>300</v>
      </c>
      <c r="M138" t="s">
        <v>299</v>
      </c>
    </row>
    <row r="139" spans="1:13" x14ac:dyDescent="0.25">
      <c r="A139" t="s">
        <v>420</v>
      </c>
      <c r="B139" t="s">
        <v>493</v>
      </c>
      <c r="C139">
        <v>1</v>
      </c>
      <c r="E139">
        <v>85</v>
      </c>
      <c r="F139">
        <v>9</v>
      </c>
      <c r="G139">
        <v>2</v>
      </c>
      <c r="H139">
        <v>2</v>
      </c>
      <c r="I139">
        <v>4</v>
      </c>
      <c r="J139">
        <v>8</v>
      </c>
      <c r="K139" t="s">
        <v>769</v>
      </c>
      <c r="L139" t="s">
        <v>304</v>
      </c>
      <c r="M139" t="s">
        <v>301</v>
      </c>
    </row>
    <row r="140" spans="1:13" x14ac:dyDescent="0.25">
      <c r="A140" t="s">
        <v>421</v>
      </c>
      <c r="B140" t="s">
        <v>494</v>
      </c>
      <c r="C140">
        <v>1</v>
      </c>
      <c r="E140">
        <v>90</v>
      </c>
      <c r="F140">
        <v>7</v>
      </c>
      <c r="G140">
        <v>3</v>
      </c>
      <c r="H140">
        <v>3</v>
      </c>
      <c r="I140">
        <v>5</v>
      </c>
      <c r="J140">
        <v>9</v>
      </c>
      <c r="K140" t="s">
        <v>770</v>
      </c>
      <c r="L140" t="s">
        <v>297</v>
      </c>
      <c r="M140" t="s">
        <v>295</v>
      </c>
    </row>
    <row r="141" spans="1:13" x14ac:dyDescent="0.25">
      <c r="A141" t="s">
        <v>422</v>
      </c>
      <c r="B141" t="s">
        <v>428</v>
      </c>
      <c r="C141">
        <v>1</v>
      </c>
      <c r="D141" t="s">
        <v>165</v>
      </c>
      <c r="E141">
        <v>115</v>
      </c>
      <c r="F141">
        <v>4</v>
      </c>
      <c r="G141">
        <v>5</v>
      </c>
      <c r="H141">
        <v>5</v>
      </c>
      <c r="I141">
        <v>5</v>
      </c>
      <c r="J141">
        <v>10</v>
      </c>
      <c r="K141" t="s">
        <v>719</v>
      </c>
      <c r="L141" t="s">
        <v>298</v>
      </c>
      <c r="M141" t="s">
        <v>296</v>
      </c>
    </row>
    <row r="142" spans="1:13" x14ac:dyDescent="0.25">
      <c r="A142" t="s">
        <v>423</v>
      </c>
      <c r="B142" t="s">
        <v>429</v>
      </c>
      <c r="C142">
        <v>1</v>
      </c>
      <c r="D142" t="s">
        <v>165</v>
      </c>
      <c r="E142">
        <v>150</v>
      </c>
      <c r="F142">
        <v>6</v>
      </c>
      <c r="G142">
        <v>5</v>
      </c>
      <c r="H142">
        <v>4</v>
      </c>
      <c r="I142" s="4" t="s">
        <v>26</v>
      </c>
      <c r="J142">
        <v>9</v>
      </c>
      <c r="K142" t="s">
        <v>715</v>
      </c>
      <c r="L142" t="s">
        <v>298</v>
      </c>
      <c r="M142" t="s">
        <v>7</v>
      </c>
    </row>
    <row r="143" spans="1:13" x14ac:dyDescent="0.25">
      <c r="A143" t="s">
        <v>467</v>
      </c>
      <c r="B143" t="s">
        <v>469</v>
      </c>
      <c r="C143">
        <v>12</v>
      </c>
      <c r="E143">
        <v>40</v>
      </c>
      <c r="F143">
        <v>6</v>
      </c>
      <c r="G143">
        <v>3</v>
      </c>
      <c r="H143">
        <v>3</v>
      </c>
      <c r="I143">
        <v>5</v>
      </c>
      <c r="J143">
        <v>8</v>
      </c>
      <c r="K143" t="s">
        <v>166</v>
      </c>
      <c r="L143" t="s">
        <v>29</v>
      </c>
      <c r="M143" t="s">
        <v>299</v>
      </c>
    </row>
    <row r="144" spans="1:13" x14ac:dyDescent="0.25">
      <c r="A144" t="s">
        <v>468</v>
      </c>
      <c r="B144" t="s">
        <v>708</v>
      </c>
      <c r="C144">
        <v>6</v>
      </c>
      <c r="E144">
        <v>110</v>
      </c>
      <c r="F144">
        <v>6</v>
      </c>
      <c r="G144">
        <v>4</v>
      </c>
      <c r="H144">
        <v>2</v>
      </c>
      <c r="I144">
        <v>3</v>
      </c>
      <c r="J144">
        <v>9</v>
      </c>
      <c r="K144" t="s">
        <v>717</v>
      </c>
      <c r="L144" t="s">
        <v>670</v>
      </c>
      <c r="M144" t="s">
        <v>31</v>
      </c>
    </row>
    <row r="145" spans="1:13" x14ac:dyDescent="0.25">
      <c r="A145" t="s">
        <v>430</v>
      </c>
      <c r="B145" t="s">
        <v>435</v>
      </c>
      <c r="C145">
        <v>12</v>
      </c>
      <c r="E145">
        <v>70</v>
      </c>
      <c r="F145">
        <v>7</v>
      </c>
      <c r="G145">
        <v>3</v>
      </c>
      <c r="H145">
        <v>2</v>
      </c>
      <c r="I145">
        <v>4</v>
      </c>
      <c r="J145">
        <v>8</v>
      </c>
      <c r="K145" t="s">
        <v>166</v>
      </c>
      <c r="L145" t="s">
        <v>7</v>
      </c>
      <c r="M145" t="s">
        <v>32</v>
      </c>
    </row>
    <row r="146" spans="1:13" x14ac:dyDescent="0.25">
      <c r="A146" t="s">
        <v>431</v>
      </c>
      <c r="B146" t="s">
        <v>485</v>
      </c>
      <c r="C146">
        <v>2</v>
      </c>
      <c r="E146">
        <v>95</v>
      </c>
      <c r="F146">
        <v>7</v>
      </c>
      <c r="G146">
        <v>3</v>
      </c>
      <c r="H146">
        <v>2</v>
      </c>
      <c r="I146">
        <v>2</v>
      </c>
      <c r="J146">
        <v>8</v>
      </c>
      <c r="K146" t="s">
        <v>77</v>
      </c>
      <c r="L146" t="s">
        <v>296</v>
      </c>
      <c r="M146" t="s">
        <v>32</v>
      </c>
    </row>
    <row r="147" spans="1:13" x14ac:dyDescent="0.25">
      <c r="A147" t="s">
        <v>432</v>
      </c>
      <c r="B147" t="s">
        <v>486</v>
      </c>
      <c r="C147">
        <v>4</v>
      </c>
      <c r="E147">
        <v>90</v>
      </c>
      <c r="F147">
        <v>8</v>
      </c>
      <c r="G147">
        <v>2</v>
      </c>
      <c r="H147">
        <v>2</v>
      </c>
      <c r="I147">
        <v>4</v>
      </c>
      <c r="J147">
        <v>8</v>
      </c>
      <c r="K147" t="s">
        <v>329</v>
      </c>
      <c r="L147" t="s">
        <v>7</v>
      </c>
      <c r="M147" t="s">
        <v>301</v>
      </c>
    </row>
    <row r="148" spans="1:13" x14ac:dyDescent="0.25">
      <c r="A148" t="s">
        <v>433</v>
      </c>
      <c r="B148" t="s">
        <v>436</v>
      </c>
      <c r="C148">
        <v>2</v>
      </c>
      <c r="E148">
        <v>125</v>
      </c>
      <c r="F148">
        <v>8</v>
      </c>
      <c r="G148">
        <v>3</v>
      </c>
      <c r="H148">
        <v>2</v>
      </c>
      <c r="I148">
        <v>4</v>
      </c>
      <c r="J148">
        <v>8</v>
      </c>
      <c r="K148" t="s">
        <v>442</v>
      </c>
      <c r="L148" t="s">
        <v>7</v>
      </c>
      <c r="M148" t="s">
        <v>301</v>
      </c>
    </row>
    <row r="149" spans="1:13" x14ac:dyDescent="0.25">
      <c r="A149" t="s">
        <v>434</v>
      </c>
      <c r="B149" t="s">
        <v>437</v>
      </c>
      <c r="C149">
        <v>1</v>
      </c>
      <c r="E149">
        <v>120</v>
      </c>
      <c r="F149">
        <v>2</v>
      </c>
      <c r="G149">
        <v>6</v>
      </c>
      <c r="H149">
        <v>5</v>
      </c>
      <c r="I149">
        <v>5</v>
      </c>
      <c r="J149">
        <v>11</v>
      </c>
      <c r="K149" t="s">
        <v>771</v>
      </c>
      <c r="L149" t="s">
        <v>32</v>
      </c>
      <c r="M149" t="s">
        <v>7</v>
      </c>
    </row>
  </sheetData>
  <sortState xmlns:xlrd2="http://schemas.microsoft.com/office/spreadsheetml/2017/richdata2" ref="A1:M149">
    <sortCondition ref="A1:A149"/>
  </sortState>
  <phoneticPr fontId="2" type="noConversion"/>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AR76"/>
  <sheetViews>
    <sheetView showRowColHeaders="0" showZeros="0" zoomScale="80" zoomScaleNormal="80" workbookViewId="0"/>
  </sheetViews>
  <sheetFormatPr defaultColWidth="0" defaultRowHeight="15" zeroHeight="1" x14ac:dyDescent="0.25"/>
  <cols>
    <col min="1" max="1" width="2.28515625" style="6" customWidth="1"/>
    <col min="2" max="2" width="3.85546875" style="123" bestFit="1" customWidth="1"/>
    <col min="3" max="3" width="20.7109375" customWidth="1"/>
    <col min="4" max="4" width="23.85546875" customWidth="1"/>
    <col min="5" max="9" width="4.7109375" style="3" customWidth="1"/>
    <col min="10" max="10" width="73" customWidth="1"/>
    <col min="11" max="11" width="12.85546875" customWidth="1"/>
    <col min="12" max="12" width="15.7109375" customWidth="1"/>
    <col min="13" max="13" width="22.85546875" customWidth="1"/>
    <col min="14" max="14" width="15.7109375" customWidth="1"/>
    <col min="15" max="15" width="22.85546875" customWidth="1"/>
    <col min="16" max="16" width="2.28515625" customWidth="1"/>
    <col min="17" max="17" width="11.42578125" style="1" hidden="1" customWidth="1"/>
    <col min="18" max="19" width="11.42578125" hidden="1" customWidth="1"/>
    <col min="20" max="20" width="11.42578125" style="1" hidden="1" customWidth="1"/>
    <col min="21" max="22" width="11.42578125" hidden="1" customWidth="1"/>
    <col min="23" max="23" width="11.42578125" style="1" hidden="1" customWidth="1"/>
    <col min="24" max="25" width="11.42578125" hidden="1" customWidth="1"/>
    <col min="26" max="26" width="11.42578125" style="1" hidden="1" customWidth="1"/>
    <col min="27" max="28" width="11.42578125" hidden="1" customWidth="1"/>
    <col min="29" max="29" width="11.42578125" style="1" hidden="1" customWidth="1"/>
    <col min="30" max="31" width="11.42578125" style="6" hidden="1" customWidth="1"/>
    <col min="32" max="32" width="14" style="6" hidden="1" customWidth="1"/>
    <col min="33" max="35" width="11.42578125" style="6" hidden="1" customWidth="1"/>
    <col min="36" max="38" width="14.5703125" style="6" hidden="1" customWidth="1"/>
    <col min="39" max="44" width="14.5703125" hidden="1" customWidth="1"/>
    <col min="45" max="16384" width="11.42578125" hidden="1"/>
  </cols>
  <sheetData>
    <row r="1" spans="1:44" s="6" customFormat="1" ht="12.6" customHeight="1" thickBot="1" x14ac:dyDescent="0.3">
      <c r="A1"/>
      <c r="B1" s="22"/>
      <c r="E1" s="325"/>
      <c r="F1" s="325"/>
      <c r="G1" s="325"/>
      <c r="H1" s="325"/>
      <c r="I1" s="325"/>
      <c r="J1" s="325"/>
      <c r="Q1" s="16"/>
      <c r="T1" s="16"/>
      <c r="W1" s="16"/>
      <c r="Z1" s="16"/>
      <c r="AC1" s="16"/>
    </row>
    <row r="2" spans="1:44" s="6" customFormat="1" ht="15" customHeight="1" thickBot="1" x14ac:dyDescent="0.3">
      <c r="B2" s="316" t="s">
        <v>526</v>
      </c>
      <c r="C2" s="317"/>
      <c r="D2" s="272" t="s">
        <v>841</v>
      </c>
      <c r="F2" s="330" t="str">
        <f>"Tier " &amp; IFERROR(VLOOKUP($D$2,Teams!$B$2:'Teams'!$I$31,8,FALSE),"")</f>
        <v xml:space="preserve">Tier </v>
      </c>
      <c r="G2" s="331"/>
      <c r="H2" s="332" t="s">
        <v>894</v>
      </c>
      <c r="I2" s="332"/>
      <c r="J2" s="268" t="s">
        <v>951</v>
      </c>
      <c r="L2" s="322" t="str">
        <f>IF($AO$8,"Too many players of a player type!","")</f>
        <v/>
      </c>
      <c r="M2" s="322"/>
      <c r="N2" s="322"/>
      <c r="O2" s="322"/>
    </row>
    <row r="3" spans="1:44" s="6" customFormat="1" ht="15" customHeight="1" x14ac:dyDescent="0.25">
      <c r="B3" s="318" t="s">
        <v>0</v>
      </c>
      <c r="C3" s="319"/>
      <c r="D3" s="273"/>
      <c r="F3" s="333" t="s">
        <v>896</v>
      </c>
      <c r="G3" s="334"/>
      <c r="H3" s="334"/>
      <c r="I3" s="334"/>
      <c r="J3" s="269" t="str">
        <f>COUNTIF(L8:L23,"Primary Skill") + U33 &amp; " Primary Skills"</f>
        <v>0 Primary Skills</v>
      </c>
      <c r="K3"/>
      <c r="L3" s="322" t="str">
        <f>IFERROR(IF(AM8&gt;AH10,"Too many Big Guys rostered!",""),"")</f>
        <v/>
      </c>
      <c r="M3" s="322"/>
      <c r="N3" s="322"/>
      <c r="O3" s="322"/>
    </row>
    <row r="4" spans="1:44" s="6" customFormat="1" ht="15" customHeight="1" x14ac:dyDescent="0.25">
      <c r="B4" s="318" t="s">
        <v>2</v>
      </c>
      <c r="C4" s="319"/>
      <c r="D4" s="273"/>
      <c r="F4" s="335"/>
      <c r="G4" s="336"/>
      <c r="H4" s="336"/>
      <c r="I4" s="336"/>
      <c r="J4" s="270" t="str">
        <f>COUNTIF(L8:L23,"Secondary Skill") &amp; " Secondary Skills"</f>
        <v>0 Secondary Skills</v>
      </c>
      <c r="L4" s="322" t="str">
        <f>IFERROR(IF($AR$8,"A Star Player can only be selected once! ",""),"") &amp; IF(COUNTBLANK(E8:E25)&lt;2,"Maximum 16 players!","")</f>
        <v/>
      </c>
      <c r="M4" s="322"/>
      <c r="N4" s="322"/>
      <c r="O4" s="322"/>
    </row>
    <row r="5" spans="1:44" s="6" customFormat="1" ht="15" customHeight="1" thickBot="1" x14ac:dyDescent="0.3">
      <c r="B5" s="320" t="s">
        <v>964</v>
      </c>
      <c r="C5" s="321"/>
      <c r="D5" s="274"/>
      <c r="F5" s="337"/>
      <c r="G5" s="338"/>
      <c r="H5" s="338"/>
      <c r="I5" s="338"/>
      <c r="J5" s="271" t="str">
        <f>COUNTIF(N8:N23,"Primary Skill") &amp;" Stacked Skills"</f>
        <v>0 Stacked Skills</v>
      </c>
      <c r="K5" s="323"/>
      <c r="L5" s="322" t="str">
        <f>IFERROR(IF($Y$29,"Incorrect number of skills! ",""),"") &amp; IF(AND(B33&gt;=1,COUNTIF(L8:O23,"Sneaky Git")&gt;=1),"No Bribe and Sneaky Git!","")</f>
        <v/>
      </c>
      <c r="M5" s="322"/>
      <c r="N5" s="322"/>
      <c r="O5" s="322"/>
    </row>
    <row r="6" spans="1:44" s="6" customFormat="1" ht="15" customHeight="1" thickBot="1" x14ac:dyDescent="0.3">
      <c r="B6" s="22"/>
      <c r="K6" s="324"/>
      <c r="L6" s="322" t="str">
        <f>IF(OR(AND(OR(AND(C24&lt;&gt;"",C24&lt;&gt;"Select Star Player"),AND(C25&lt;&gt;"",C25&lt;&gt;"Select Star Player")),ISNUMBER(FIND("Star Player",J2))=FALSE),AND(AND(AND(C24&lt;&gt;"",C24&lt;&gt;"Select Star Player"),AND(C25&lt;&gt;"",C25&lt;&gt;"Select Star Player")),ISNUMBER(FIND("Star Players",J2))=FALSE)),"Select a Skill Pack that allows this number of Star Players!","")</f>
        <v/>
      </c>
      <c r="M6" s="322"/>
      <c r="N6" s="322"/>
      <c r="O6" s="322"/>
      <c r="R6" s="212" t="s">
        <v>898</v>
      </c>
      <c r="S6" s="213"/>
      <c r="T6" s="213"/>
      <c r="U6" s="213"/>
      <c r="V6" s="213"/>
      <c r="W6" s="213"/>
      <c r="X6" s="213"/>
      <c r="Y6" s="216"/>
      <c r="Z6" s="212" t="s">
        <v>899</v>
      </c>
      <c r="AA6" s="213"/>
      <c r="AB6" s="213"/>
      <c r="AC6" s="213"/>
      <c r="AD6" s="212" t="s">
        <v>905</v>
      </c>
      <c r="AE6" s="217"/>
      <c r="AF6" s="218"/>
      <c r="AG6" s="212" t="s">
        <v>908</v>
      </c>
      <c r="AH6" s="216"/>
      <c r="AI6" s="212" t="s">
        <v>913</v>
      </c>
      <c r="AJ6" s="213"/>
      <c r="AK6" s="213"/>
      <c r="AL6" s="213"/>
      <c r="AM6" s="213"/>
      <c r="AN6" s="213"/>
      <c r="AO6" s="213"/>
      <c r="AP6" s="213"/>
      <c r="AQ6" s="213"/>
      <c r="AR6" s="216"/>
    </row>
    <row r="7" spans="1:44" s="5" customFormat="1" ht="23.25" customHeight="1" thickBot="1" x14ac:dyDescent="0.3">
      <c r="A7" s="7"/>
      <c r="B7" s="234" t="s">
        <v>3</v>
      </c>
      <c r="C7" s="356" t="s">
        <v>823</v>
      </c>
      <c r="D7" s="357"/>
      <c r="E7" s="235" t="s">
        <v>5</v>
      </c>
      <c r="F7" s="235" t="s">
        <v>6</v>
      </c>
      <c r="G7" s="235" t="s">
        <v>7</v>
      </c>
      <c r="H7" s="235" t="s">
        <v>8</v>
      </c>
      <c r="I7" s="235" t="s">
        <v>9</v>
      </c>
      <c r="J7" s="166" t="s">
        <v>320</v>
      </c>
      <c r="K7" s="165" t="s">
        <v>879</v>
      </c>
      <c r="L7" s="234" t="s">
        <v>917</v>
      </c>
      <c r="M7" s="235" t="s">
        <v>27</v>
      </c>
      <c r="N7" s="234" t="s">
        <v>918</v>
      </c>
      <c r="O7" s="166" t="s">
        <v>27</v>
      </c>
      <c r="P7" s="6"/>
      <c r="Q7" s="7"/>
      <c r="R7" s="189" t="s">
        <v>306</v>
      </c>
      <c r="S7" s="190" t="s">
        <v>307</v>
      </c>
      <c r="T7" s="191" t="s">
        <v>523</v>
      </c>
      <c r="U7" s="192"/>
      <c r="V7" s="192"/>
      <c r="W7" s="192"/>
      <c r="X7" s="192"/>
      <c r="Y7" s="193"/>
      <c r="Z7" s="194" t="s">
        <v>920</v>
      </c>
      <c r="AA7" s="191" t="s">
        <v>919</v>
      </c>
      <c r="AB7" s="191" t="s">
        <v>933</v>
      </c>
      <c r="AC7" s="192"/>
      <c r="AD7" s="189" t="s">
        <v>906</v>
      </c>
      <c r="AE7" s="190" t="s">
        <v>907</v>
      </c>
      <c r="AF7" s="190"/>
      <c r="AG7" s="194" t="s">
        <v>900</v>
      </c>
      <c r="AH7" s="187" t="e">
        <f>VLOOKUP($D$2,Teams!$B$2:$C$31,2,FALSE)</f>
        <v>#N/A</v>
      </c>
      <c r="AI7" s="236" t="s">
        <v>3</v>
      </c>
      <c r="AJ7" s="195" t="s">
        <v>910</v>
      </c>
      <c r="AK7" s="195" t="s">
        <v>911</v>
      </c>
      <c r="AL7" s="195" t="s">
        <v>909</v>
      </c>
      <c r="AM7" s="195" t="s">
        <v>929</v>
      </c>
      <c r="AN7" s="195" t="s">
        <v>912</v>
      </c>
      <c r="AO7" s="196" t="s">
        <v>927</v>
      </c>
      <c r="AP7" s="219" t="s">
        <v>3</v>
      </c>
      <c r="AQ7" s="298" t="s">
        <v>840</v>
      </c>
      <c r="AR7" s="299" t="s">
        <v>928</v>
      </c>
    </row>
    <row r="8" spans="1:44" s="2" customFormat="1" ht="24" customHeight="1" x14ac:dyDescent="0.25">
      <c r="A8" s="8"/>
      <c r="B8" s="31">
        <v>1</v>
      </c>
      <c r="C8" s="351"/>
      <c r="D8" s="352"/>
      <c r="E8" s="32" t="str">
        <f t="shared" ref="E8:E23" si="0">IFERROR(VLOOKUP($C8,PlayerList,5,FALSE),"")</f>
        <v/>
      </c>
      <c r="F8" s="32" t="str">
        <f t="shared" ref="F8:F23" si="1">IFERROR(VLOOKUP($C8,PlayerList,6,FALSE),"")</f>
        <v/>
      </c>
      <c r="G8" s="68" t="str">
        <f t="shared" ref="G8:G23" si="2">IFERROR(VLOOKUP($C8,PlayerList,7,FALSE),"")</f>
        <v/>
      </c>
      <c r="H8" s="68" t="str">
        <f t="shared" ref="H8:H23" si="3">IFERROR(VLOOKUP($C8,PlayerList,8,FALSE),"")</f>
        <v/>
      </c>
      <c r="I8" s="68" t="str">
        <f t="shared" ref="I8:I23" si="4">IFERROR(VLOOKUP($C8,PlayerList,9,FALSE),"")</f>
        <v/>
      </c>
      <c r="J8" s="275" t="str">
        <f t="shared" ref="J8:J23" si="5">IF(M8&lt;&gt;"",CONCATENATE(IF(T8="None","",T8&amp;", "),M8,IF(O8="","",", "),O8),T8)</f>
        <v/>
      </c>
      <c r="K8" s="256" t="str">
        <f t="shared" ref="K8:K23" si="6">IFERROR(1000*IF(VLOOKUP($C8,PlayerList,4,FALSE)&lt;0,-VLOOKUP($C8,PlayerList,4,FALSE),VLOOKUP($C8,PlayerList,4,FALSE)),"")</f>
        <v/>
      </c>
      <c r="L8" s="260"/>
      <c r="M8" s="261"/>
      <c r="N8" s="260"/>
      <c r="O8" s="262"/>
      <c r="P8" s="6"/>
      <c r="Q8" s="8"/>
      <c r="R8" s="170" t="str">
        <f>IFERROR(VLOOKUP($C8,PlayerList,11,FALSE),"")</f>
        <v/>
      </c>
      <c r="S8" s="168" t="str">
        <f t="shared" ref="S8:S23" si="7">IFERROR(VLOOKUP($C8,PlayerList,12,FALSE),"")</f>
        <v/>
      </c>
      <c r="T8" s="168" t="str">
        <f t="shared" ref="T8:T23" si="8">IFERROR(VLOOKUP($C8,PlayerList,10,FALSE),"")</f>
        <v/>
      </c>
      <c r="U8" s="168"/>
      <c r="V8" s="168"/>
      <c r="W8" s="168"/>
      <c r="X8" s="168"/>
      <c r="Y8" s="171"/>
      <c r="Z8" s="170" t="e">
        <f t="shared" ref="Z8:Z23" si="9">HLOOKUP(R8,$S$36:$AN$37,2,FALSE)</f>
        <v>#N/A</v>
      </c>
      <c r="AA8" s="168" t="e">
        <f t="shared" ref="AA8:AA23" si="10">HLOOKUP(S8,$S$36:$AN$37,2,FALSE)</f>
        <v>#N/A</v>
      </c>
      <c r="AB8" s="168" t="str">
        <f t="shared" ref="AB8:AB23" si="11">$R$37</f>
        <v>$R$38:$R$52</v>
      </c>
      <c r="AC8" s="168"/>
      <c r="AD8" s="170" t="e">
        <f>HLOOKUP(L8,$Z$7:$AB$23,ROW()-6,FALSE)</f>
        <v>#N/A</v>
      </c>
      <c r="AE8" s="168" t="e">
        <f>HLOOKUP(N8,$Z$7:$AB$23,ROW()-6,FALSE)</f>
        <v>#N/A</v>
      </c>
      <c r="AF8" s="168"/>
      <c r="AG8" s="194" t="s">
        <v>902</v>
      </c>
      <c r="AH8" s="187" t="e">
        <f>VLOOKUP($D$2,Teams!$B$2:$H$31,7,FALSE)</f>
        <v>#N/A</v>
      </c>
      <c r="AI8" s="221">
        <v>0</v>
      </c>
      <c r="AJ8" s="179"/>
      <c r="AK8" s="179"/>
      <c r="AL8" s="179"/>
      <c r="AM8" s="179">
        <f>COUNTIFS(AM9:AM25,"BG",AN9:AN25,1)</f>
        <v>0</v>
      </c>
      <c r="AN8" s="179">
        <f>SUM(AN9:AN24)</f>
        <v>0</v>
      </c>
      <c r="AO8" s="184" t="b">
        <f>OR(AO9:AO19)</f>
        <v>0</v>
      </c>
      <c r="AP8" s="220">
        <v>0</v>
      </c>
      <c r="AQ8" s="168" t="str">
        <f>IFERROR(IF(HLOOKUP($AH$8,STARS,$AP8+2,FALSE)="","",HLOOKUP($AH$8,STARS,$AP8+2,FALSE)),"Select Star Player")</f>
        <v>Select Star Player</v>
      </c>
      <c r="AR8" s="185" t="b">
        <f>OR(AR9:AR25)</f>
        <v>0</v>
      </c>
    </row>
    <row r="9" spans="1:44" s="2" customFormat="1" ht="24" customHeight="1" x14ac:dyDescent="0.25">
      <c r="A9" s="8"/>
      <c r="B9" s="9">
        <v>2</v>
      </c>
      <c r="C9" s="347"/>
      <c r="D9" s="348"/>
      <c r="E9" s="32" t="str">
        <f t="shared" si="0"/>
        <v/>
      </c>
      <c r="F9" s="32" t="str">
        <f t="shared" si="1"/>
        <v/>
      </c>
      <c r="G9" s="68" t="str">
        <f t="shared" si="2"/>
        <v/>
      </c>
      <c r="H9" s="68" t="str">
        <f t="shared" si="3"/>
        <v/>
      </c>
      <c r="I9" s="68" t="str">
        <f t="shared" si="4"/>
        <v/>
      </c>
      <c r="J9" s="275" t="str">
        <f t="shared" si="5"/>
        <v/>
      </c>
      <c r="K9" s="256" t="str">
        <f t="shared" si="6"/>
        <v/>
      </c>
      <c r="L9" s="260"/>
      <c r="M9" s="263"/>
      <c r="N9" s="260"/>
      <c r="O9" s="264"/>
      <c r="P9" s="6"/>
      <c r="Q9" s="8"/>
      <c r="R9" s="170" t="str">
        <f>IFERROR(VLOOKUP($C9,PlayerList,11,FALSE),"")</f>
        <v/>
      </c>
      <c r="S9" s="168" t="str">
        <f t="shared" si="7"/>
        <v/>
      </c>
      <c r="T9" s="168" t="str">
        <f t="shared" si="8"/>
        <v/>
      </c>
      <c r="U9" s="168"/>
      <c r="V9" s="168"/>
      <c r="W9" s="168"/>
      <c r="X9" s="168"/>
      <c r="Y9" s="171"/>
      <c r="Z9" s="170" t="e">
        <f t="shared" si="9"/>
        <v>#N/A</v>
      </c>
      <c r="AA9" s="168" t="e">
        <f t="shared" si="10"/>
        <v>#N/A</v>
      </c>
      <c r="AB9" s="168" t="str">
        <f t="shared" si="11"/>
        <v>$R$38:$R$52</v>
      </c>
      <c r="AC9" s="168"/>
      <c r="AD9" s="170" t="e">
        <f t="shared" ref="AD9:AD23" si="12">HLOOKUP(L9,$Z$7:$AB$23,ROW()-6,FALSE)</f>
        <v>#N/A</v>
      </c>
      <c r="AE9" s="168" t="e">
        <f t="shared" ref="AE9:AE23" si="13">HLOOKUP(N9,$Z$7:$AB$23,ROW()-6,FALSE)</f>
        <v>#N/A</v>
      </c>
      <c r="AF9" s="168"/>
      <c r="AG9" s="194" t="s">
        <v>903</v>
      </c>
      <c r="AH9" s="187" t="e">
        <f>VLOOKUP($D$2,Teams!$B$2:$D$31,3,FALSE)</f>
        <v>#N/A</v>
      </c>
      <c r="AI9" s="221">
        <v>1</v>
      </c>
      <c r="AJ9" s="197" t="e">
        <f t="shared" ref="AJ9:AJ24" si="14">IF(AI9&lt;=$AH$9,CONCATENATE($AH$7,IF(AI9&lt;10,"0",""),AI9),"")</f>
        <v>#N/A</v>
      </c>
      <c r="AK9" s="197" t="str">
        <f t="shared" ref="AK9:AK24" si="15">IFERROR(VLOOKUP(AJ9,PLAYERS,2,FALSE),"")</f>
        <v/>
      </c>
      <c r="AL9" s="197" t="str">
        <f t="shared" ref="AL9:AL24" si="16">IFERROR(VLOOKUP(AJ9,PLAYERS,3,FALSE),"")</f>
        <v/>
      </c>
      <c r="AM9" s="197" t="str">
        <f t="shared" ref="AM9:AM24" si="17">IF(AK9&lt;&gt;"",VLOOKUP(AJ9,PLAYERS,4,FALSE),"")</f>
        <v/>
      </c>
      <c r="AN9" s="197" t="str">
        <f t="shared" ref="AN9:AN24" si="18">IF(AK9&lt;&gt;"",COUNTIF($C$8:$C$23,AK9),"")</f>
        <v/>
      </c>
      <c r="AO9" s="197" t="b">
        <f t="shared" ref="AO9:AO19" si="19">IF(AN9&gt;AL9,TRUE,FALSE)</f>
        <v>0</v>
      </c>
      <c r="AP9" s="221">
        <v>1</v>
      </c>
      <c r="AQ9" s="168" t="str">
        <f t="shared" ref="AQ9:AQ38" si="20">IFERROR(IF(HLOOKUP($AH$8,STARS,$AP9+2,FALSE)="","",HLOOKUP($AH$8,STARS,$AP9+2,FALSE)),"")</f>
        <v/>
      </c>
      <c r="AR9" s="171" t="b">
        <f>IF(IF(AND(AQ8&lt;&gt;"",AQ8&lt;&gt;"Select Star Player"),COUNTIF($C$24:$C$25,AQ8),0)&gt;1,TRUE,FALSE)</f>
        <v>0</v>
      </c>
    </row>
    <row r="10" spans="1:44" s="2" customFormat="1" ht="24" customHeight="1" x14ac:dyDescent="0.25">
      <c r="A10" s="8"/>
      <c r="B10" s="9">
        <v>3</v>
      </c>
      <c r="C10" s="347"/>
      <c r="D10" s="348"/>
      <c r="E10" s="32" t="str">
        <f t="shared" si="0"/>
        <v/>
      </c>
      <c r="F10" s="32" t="str">
        <f t="shared" si="1"/>
        <v/>
      </c>
      <c r="G10" s="68" t="str">
        <f t="shared" si="2"/>
        <v/>
      </c>
      <c r="H10" s="68" t="str">
        <f t="shared" si="3"/>
        <v/>
      </c>
      <c r="I10" s="68" t="str">
        <f t="shared" si="4"/>
        <v/>
      </c>
      <c r="J10" s="275" t="str">
        <f t="shared" si="5"/>
        <v/>
      </c>
      <c r="K10" s="256" t="str">
        <f t="shared" si="6"/>
        <v/>
      </c>
      <c r="L10" s="260"/>
      <c r="M10" s="263"/>
      <c r="N10" s="260"/>
      <c r="O10" s="264"/>
      <c r="P10" s="6"/>
      <c r="Q10" s="8"/>
      <c r="R10" s="170" t="str">
        <f>IFERROR(VLOOKUP($C10,PlayerList,11,FALSE),"")</f>
        <v/>
      </c>
      <c r="S10" s="168" t="str">
        <f t="shared" si="7"/>
        <v/>
      </c>
      <c r="T10" s="168" t="str">
        <f t="shared" si="8"/>
        <v/>
      </c>
      <c r="U10" s="168"/>
      <c r="V10" s="168"/>
      <c r="W10" s="168"/>
      <c r="X10" s="168"/>
      <c r="Y10" s="171"/>
      <c r="Z10" s="170" t="e">
        <f t="shared" si="9"/>
        <v>#N/A</v>
      </c>
      <c r="AA10" s="168" t="e">
        <f t="shared" si="10"/>
        <v>#N/A</v>
      </c>
      <c r="AB10" s="168" t="str">
        <f t="shared" si="11"/>
        <v>$R$38:$R$52</v>
      </c>
      <c r="AC10" s="168"/>
      <c r="AD10" s="170" t="e">
        <f t="shared" si="12"/>
        <v>#N/A</v>
      </c>
      <c r="AE10" s="168" t="e">
        <f t="shared" si="13"/>
        <v>#N/A</v>
      </c>
      <c r="AF10" s="168"/>
      <c r="AG10" s="194" t="s">
        <v>904</v>
      </c>
      <c r="AH10" s="187" t="e">
        <f>VLOOKUP($D$2,Teams!$B$2:$E$31,4,FALSE)</f>
        <v>#N/A</v>
      </c>
      <c r="AI10" s="221">
        <v>2</v>
      </c>
      <c r="AJ10" s="197" t="e">
        <f t="shared" si="14"/>
        <v>#N/A</v>
      </c>
      <c r="AK10" s="197" t="str">
        <f t="shared" si="15"/>
        <v/>
      </c>
      <c r="AL10" s="197" t="str">
        <f t="shared" si="16"/>
        <v/>
      </c>
      <c r="AM10" s="197" t="str">
        <f t="shared" si="17"/>
        <v/>
      </c>
      <c r="AN10" s="197" t="str">
        <f t="shared" si="18"/>
        <v/>
      </c>
      <c r="AO10" s="197" t="b">
        <f t="shared" si="19"/>
        <v>0</v>
      </c>
      <c r="AP10" s="221">
        <v>2</v>
      </c>
      <c r="AQ10" s="168" t="str">
        <f t="shared" si="20"/>
        <v/>
      </c>
      <c r="AR10" s="171" t="b">
        <f t="shared" ref="AR10:AR25" si="21">IF(IF(AND(AQ9&lt;&gt;"",AQ9&lt;&gt;"Select Team to see available Star Players"),COUNTIF($C$24:$C$25,AQ9),0)&gt;1,TRUE,FALSE)</f>
        <v>0</v>
      </c>
    </row>
    <row r="11" spans="1:44" s="2" customFormat="1" ht="24" customHeight="1" x14ac:dyDescent="0.25">
      <c r="A11" s="8"/>
      <c r="B11" s="9">
        <v>4</v>
      </c>
      <c r="C11" s="347"/>
      <c r="D11" s="348"/>
      <c r="E11" s="32" t="str">
        <f t="shared" si="0"/>
        <v/>
      </c>
      <c r="F11" s="32" t="str">
        <f t="shared" si="1"/>
        <v/>
      </c>
      <c r="G11" s="68" t="str">
        <f t="shared" si="2"/>
        <v/>
      </c>
      <c r="H11" s="68" t="str">
        <f t="shared" si="3"/>
        <v/>
      </c>
      <c r="I11" s="68" t="str">
        <f t="shared" si="4"/>
        <v/>
      </c>
      <c r="J11" s="275" t="str">
        <f t="shared" si="5"/>
        <v/>
      </c>
      <c r="K11" s="256" t="str">
        <f t="shared" si="6"/>
        <v/>
      </c>
      <c r="L11" s="260"/>
      <c r="M11" s="263"/>
      <c r="N11" s="260"/>
      <c r="O11" s="264"/>
      <c r="P11" s="6"/>
      <c r="Q11" s="8"/>
      <c r="R11" s="170" t="str">
        <f t="shared" ref="R11:R23" si="22">IFERROR(VLOOKUP($C11,PlayerList,11,FALSE),"")</f>
        <v/>
      </c>
      <c r="S11" s="168" t="str">
        <f t="shared" si="7"/>
        <v/>
      </c>
      <c r="T11" s="168" t="str">
        <f t="shared" si="8"/>
        <v/>
      </c>
      <c r="U11" s="168"/>
      <c r="V11" s="168"/>
      <c r="W11" s="168"/>
      <c r="X11" s="168"/>
      <c r="Y11" s="171"/>
      <c r="Z11" s="170" t="e">
        <f t="shared" si="9"/>
        <v>#N/A</v>
      </c>
      <c r="AA11" s="168" t="e">
        <f t="shared" si="10"/>
        <v>#N/A</v>
      </c>
      <c r="AB11" s="168" t="str">
        <f t="shared" si="11"/>
        <v>$R$38:$R$52</v>
      </c>
      <c r="AC11" s="168"/>
      <c r="AD11" s="170" t="e">
        <f t="shared" si="12"/>
        <v>#N/A</v>
      </c>
      <c r="AE11" s="168" t="e">
        <f t="shared" si="13"/>
        <v>#N/A</v>
      </c>
      <c r="AF11" s="168"/>
      <c r="AG11" s="194" t="s">
        <v>677</v>
      </c>
      <c r="AH11" s="187" t="str">
        <f>IFERROR(VLOOKUP($D$2,Teams!$B$2:'Teams'!$I$31,6,FALSE),"-")</f>
        <v>-</v>
      </c>
      <c r="AI11" s="221">
        <v>3</v>
      </c>
      <c r="AJ11" s="197" t="e">
        <f t="shared" si="14"/>
        <v>#N/A</v>
      </c>
      <c r="AK11" s="197" t="str">
        <f t="shared" si="15"/>
        <v/>
      </c>
      <c r="AL11" s="197" t="str">
        <f t="shared" si="16"/>
        <v/>
      </c>
      <c r="AM11" s="197" t="str">
        <f t="shared" si="17"/>
        <v/>
      </c>
      <c r="AN11" s="197" t="str">
        <f t="shared" si="18"/>
        <v/>
      </c>
      <c r="AO11" s="197" t="b">
        <f t="shared" si="19"/>
        <v>0</v>
      </c>
      <c r="AP11" s="221">
        <v>3</v>
      </c>
      <c r="AQ11" s="168" t="str">
        <f t="shared" si="20"/>
        <v/>
      </c>
      <c r="AR11" s="171" t="b">
        <f t="shared" si="21"/>
        <v>0</v>
      </c>
    </row>
    <row r="12" spans="1:44" s="2" customFormat="1" ht="24" customHeight="1" x14ac:dyDescent="0.25">
      <c r="A12" s="8"/>
      <c r="B12" s="9">
        <v>5</v>
      </c>
      <c r="C12" s="347"/>
      <c r="D12" s="348"/>
      <c r="E12" s="32" t="str">
        <f t="shared" si="0"/>
        <v/>
      </c>
      <c r="F12" s="32" t="str">
        <f t="shared" si="1"/>
        <v/>
      </c>
      <c r="G12" s="68" t="str">
        <f t="shared" si="2"/>
        <v/>
      </c>
      <c r="H12" s="68" t="str">
        <f t="shared" si="3"/>
        <v/>
      </c>
      <c r="I12" s="68" t="str">
        <f t="shared" si="4"/>
        <v/>
      </c>
      <c r="J12" s="275" t="str">
        <f t="shared" si="5"/>
        <v/>
      </c>
      <c r="K12" s="256" t="str">
        <f t="shared" si="6"/>
        <v/>
      </c>
      <c r="L12" s="260"/>
      <c r="M12" s="263"/>
      <c r="N12" s="260"/>
      <c r="O12" s="264"/>
      <c r="P12" s="6"/>
      <c r="Q12" s="8"/>
      <c r="R12" s="170" t="str">
        <f t="shared" si="22"/>
        <v/>
      </c>
      <c r="S12" s="168" t="str">
        <f t="shared" si="7"/>
        <v/>
      </c>
      <c r="T12" s="168" t="str">
        <f t="shared" si="8"/>
        <v/>
      </c>
      <c r="U12" s="168"/>
      <c r="V12" s="168"/>
      <c r="W12" s="168"/>
      <c r="X12" s="168"/>
      <c r="Y12" s="171"/>
      <c r="Z12" s="170" t="e">
        <f t="shared" si="9"/>
        <v>#N/A</v>
      </c>
      <c r="AA12" s="168" t="e">
        <f t="shared" si="10"/>
        <v>#N/A</v>
      </c>
      <c r="AB12" s="168" t="str">
        <f t="shared" si="11"/>
        <v>$R$38:$R$52</v>
      </c>
      <c r="AC12" s="168"/>
      <c r="AD12" s="170" t="e">
        <f t="shared" si="12"/>
        <v>#N/A</v>
      </c>
      <c r="AE12" s="168" t="e">
        <f t="shared" si="13"/>
        <v>#N/A</v>
      </c>
      <c r="AF12" s="168"/>
      <c r="AG12" s="194" t="s">
        <v>914</v>
      </c>
      <c r="AH12" s="171" t="str">
        <f>IF(ISNUMBER(SEARCH("LCL",$AH$8)),"Riotous Rookies",IF(ISNUMBER(SEARCH("NGL",$AH$8)),"Plague Doctor",IF(ISNUMBER(SEARCH("SSL",$AH$8)),"Mortuary Assistant","")))</f>
        <v/>
      </c>
      <c r="AI12" s="221">
        <v>4</v>
      </c>
      <c r="AJ12" s="197" t="e">
        <f t="shared" si="14"/>
        <v>#N/A</v>
      </c>
      <c r="AK12" s="197" t="str">
        <f t="shared" si="15"/>
        <v/>
      </c>
      <c r="AL12" s="197" t="str">
        <f t="shared" si="16"/>
        <v/>
      </c>
      <c r="AM12" s="197" t="str">
        <f t="shared" si="17"/>
        <v/>
      </c>
      <c r="AN12" s="197" t="str">
        <f t="shared" si="18"/>
        <v/>
      </c>
      <c r="AO12" s="197" t="b">
        <f t="shared" si="19"/>
        <v>0</v>
      </c>
      <c r="AP12" s="221">
        <v>4</v>
      </c>
      <c r="AQ12" s="168" t="str">
        <f t="shared" si="20"/>
        <v/>
      </c>
      <c r="AR12" s="171" t="b">
        <f t="shared" si="21"/>
        <v>0</v>
      </c>
    </row>
    <row r="13" spans="1:44" s="2" customFormat="1" ht="24" customHeight="1" x14ac:dyDescent="0.25">
      <c r="A13" s="8"/>
      <c r="B13" s="9">
        <v>6</v>
      </c>
      <c r="C13" s="347"/>
      <c r="D13" s="348"/>
      <c r="E13" s="32" t="str">
        <f t="shared" si="0"/>
        <v/>
      </c>
      <c r="F13" s="32" t="str">
        <f t="shared" si="1"/>
        <v/>
      </c>
      <c r="G13" s="68" t="str">
        <f t="shared" si="2"/>
        <v/>
      </c>
      <c r="H13" s="68" t="str">
        <f t="shared" si="3"/>
        <v/>
      </c>
      <c r="I13" s="68" t="str">
        <f t="shared" si="4"/>
        <v/>
      </c>
      <c r="J13" s="275" t="str">
        <f t="shared" si="5"/>
        <v/>
      </c>
      <c r="K13" s="256" t="str">
        <f t="shared" si="6"/>
        <v/>
      </c>
      <c r="L13" s="260"/>
      <c r="M13" s="263"/>
      <c r="N13" s="260"/>
      <c r="O13" s="264"/>
      <c r="P13" s="6"/>
      <c r="Q13" s="8"/>
      <c r="R13" s="170" t="str">
        <f t="shared" si="22"/>
        <v/>
      </c>
      <c r="S13" s="168" t="str">
        <f t="shared" si="7"/>
        <v/>
      </c>
      <c r="T13" s="168" t="str">
        <f t="shared" si="8"/>
        <v/>
      </c>
      <c r="U13" s="168"/>
      <c r="V13" s="168"/>
      <c r="W13" s="168"/>
      <c r="X13" s="168"/>
      <c r="Y13" s="171"/>
      <c r="Z13" s="170" t="e">
        <f t="shared" si="9"/>
        <v>#N/A</v>
      </c>
      <c r="AA13" s="168" t="e">
        <f t="shared" si="10"/>
        <v>#N/A</v>
      </c>
      <c r="AB13" s="168" t="str">
        <f t="shared" si="11"/>
        <v>$R$38:$R$52</v>
      </c>
      <c r="AC13" s="168"/>
      <c r="AD13" s="170" t="e">
        <f t="shared" si="12"/>
        <v>#N/A</v>
      </c>
      <c r="AE13" s="168" t="e">
        <f t="shared" si="13"/>
        <v>#N/A</v>
      </c>
      <c r="AF13" s="168"/>
      <c r="AG13" s="194" t="s">
        <v>915</v>
      </c>
      <c r="AH13" s="171">
        <f>IF(ISNUMBER(SEARCH("HTC",$AH$8)),100000,300000)</f>
        <v>300000</v>
      </c>
      <c r="AI13" s="221">
        <v>5</v>
      </c>
      <c r="AJ13" s="197" t="e">
        <f t="shared" si="14"/>
        <v>#N/A</v>
      </c>
      <c r="AK13" s="197" t="str">
        <f t="shared" si="15"/>
        <v/>
      </c>
      <c r="AL13" s="197" t="str">
        <f t="shared" si="16"/>
        <v/>
      </c>
      <c r="AM13" s="197" t="str">
        <f t="shared" si="17"/>
        <v/>
      </c>
      <c r="AN13" s="197" t="str">
        <f t="shared" si="18"/>
        <v/>
      </c>
      <c r="AO13" s="197" t="b">
        <f t="shared" si="19"/>
        <v>0</v>
      </c>
      <c r="AP13" s="221">
        <v>5</v>
      </c>
      <c r="AQ13" s="168" t="str">
        <f t="shared" si="20"/>
        <v/>
      </c>
      <c r="AR13" s="171" t="b">
        <f t="shared" si="21"/>
        <v>0</v>
      </c>
    </row>
    <row r="14" spans="1:44" s="2" customFormat="1" ht="24" customHeight="1" x14ac:dyDescent="0.25">
      <c r="A14" s="8"/>
      <c r="B14" s="9">
        <v>7</v>
      </c>
      <c r="C14" s="347"/>
      <c r="D14" s="348"/>
      <c r="E14" s="32" t="str">
        <f t="shared" si="0"/>
        <v/>
      </c>
      <c r="F14" s="32" t="str">
        <f t="shared" si="1"/>
        <v/>
      </c>
      <c r="G14" s="68" t="str">
        <f t="shared" si="2"/>
        <v/>
      </c>
      <c r="H14" s="68" t="str">
        <f t="shared" si="3"/>
        <v/>
      </c>
      <c r="I14" s="68" t="str">
        <f t="shared" si="4"/>
        <v/>
      </c>
      <c r="J14" s="275" t="str">
        <f t="shared" si="5"/>
        <v/>
      </c>
      <c r="K14" s="256" t="str">
        <f t="shared" si="6"/>
        <v/>
      </c>
      <c r="L14" s="260"/>
      <c r="M14" s="263"/>
      <c r="N14" s="260"/>
      <c r="O14" s="264"/>
      <c r="P14" s="6"/>
      <c r="Q14" s="8"/>
      <c r="R14" s="170" t="str">
        <f t="shared" si="22"/>
        <v/>
      </c>
      <c r="S14" s="168" t="str">
        <f t="shared" si="7"/>
        <v/>
      </c>
      <c r="T14" s="168" t="str">
        <f t="shared" si="8"/>
        <v/>
      </c>
      <c r="U14" s="168"/>
      <c r="V14" s="168"/>
      <c r="W14" s="168"/>
      <c r="X14" s="168"/>
      <c r="Y14" s="171"/>
      <c r="Z14" s="170" t="e">
        <f t="shared" si="9"/>
        <v>#N/A</v>
      </c>
      <c r="AA14" s="168" t="e">
        <f t="shared" si="10"/>
        <v>#N/A</v>
      </c>
      <c r="AB14" s="168" t="str">
        <f t="shared" si="11"/>
        <v>$R$38:$R$52</v>
      </c>
      <c r="AC14" s="168"/>
      <c r="AD14" s="170" t="e">
        <f t="shared" si="12"/>
        <v>#N/A</v>
      </c>
      <c r="AE14" s="168" t="e">
        <f t="shared" si="13"/>
        <v>#N/A</v>
      </c>
      <c r="AF14" s="168"/>
      <c r="AG14" s="194" t="s">
        <v>916</v>
      </c>
      <c r="AH14" s="171">
        <f>IF(ISNUMBER(SEARCH("BAC",$AH$8)),50000,100000)</f>
        <v>100000</v>
      </c>
      <c r="AI14" s="221">
        <v>6</v>
      </c>
      <c r="AJ14" s="197" t="e">
        <f t="shared" si="14"/>
        <v>#N/A</v>
      </c>
      <c r="AK14" s="197" t="str">
        <f t="shared" si="15"/>
        <v/>
      </c>
      <c r="AL14" s="197" t="str">
        <f t="shared" si="16"/>
        <v/>
      </c>
      <c r="AM14" s="197" t="str">
        <f t="shared" si="17"/>
        <v/>
      </c>
      <c r="AN14" s="197" t="str">
        <f t="shared" si="18"/>
        <v/>
      </c>
      <c r="AO14" s="197" t="b">
        <f t="shared" si="19"/>
        <v>0</v>
      </c>
      <c r="AP14" s="221">
        <v>6</v>
      </c>
      <c r="AQ14" s="168" t="str">
        <f t="shared" si="20"/>
        <v/>
      </c>
      <c r="AR14" s="171" t="b">
        <f t="shared" si="21"/>
        <v>0</v>
      </c>
    </row>
    <row r="15" spans="1:44" s="2" customFormat="1" ht="24" customHeight="1" x14ac:dyDescent="0.25">
      <c r="A15" s="8"/>
      <c r="B15" s="9">
        <v>8</v>
      </c>
      <c r="C15" s="347"/>
      <c r="D15" s="348"/>
      <c r="E15" s="32" t="str">
        <f t="shared" si="0"/>
        <v/>
      </c>
      <c r="F15" s="32" t="str">
        <f t="shared" si="1"/>
        <v/>
      </c>
      <c r="G15" s="68" t="str">
        <f t="shared" si="2"/>
        <v/>
      </c>
      <c r="H15" s="68" t="str">
        <f t="shared" si="3"/>
        <v/>
      </c>
      <c r="I15" s="68" t="str">
        <f t="shared" si="4"/>
        <v/>
      </c>
      <c r="J15" s="275" t="str">
        <f t="shared" si="5"/>
        <v/>
      </c>
      <c r="K15" s="256" t="str">
        <f t="shared" si="6"/>
        <v/>
      </c>
      <c r="L15" s="260"/>
      <c r="M15" s="263"/>
      <c r="N15" s="260"/>
      <c r="O15" s="264"/>
      <c r="P15" s="6"/>
      <c r="Q15" s="8"/>
      <c r="R15" s="170" t="str">
        <f t="shared" si="22"/>
        <v/>
      </c>
      <c r="S15" s="168" t="str">
        <f t="shared" si="7"/>
        <v/>
      </c>
      <c r="T15" s="168" t="str">
        <f t="shared" si="8"/>
        <v/>
      </c>
      <c r="U15" s="168"/>
      <c r="V15" s="168"/>
      <c r="W15" s="168"/>
      <c r="X15" s="168"/>
      <c r="Y15" s="171"/>
      <c r="Z15" s="170" t="e">
        <f t="shared" si="9"/>
        <v>#N/A</v>
      </c>
      <c r="AA15" s="168" t="e">
        <f t="shared" si="10"/>
        <v>#N/A</v>
      </c>
      <c r="AB15" s="168" t="str">
        <f t="shared" si="11"/>
        <v>$R$38:$R$52</v>
      </c>
      <c r="AC15" s="168"/>
      <c r="AD15" s="170" t="e">
        <f t="shared" si="12"/>
        <v>#N/A</v>
      </c>
      <c r="AE15" s="168" t="e">
        <f t="shared" si="13"/>
        <v>#N/A</v>
      </c>
      <c r="AF15" s="168"/>
      <c r="AG15" s="194" t="s">
        <v>824</v>
      </c>
      <c r="AH15" s="171">
        <f>IF(ISNUMBER(SEARCH("LCL",$AH$8)),80000,100000)</f>
        <v>100000</v>
      </c>
      <c r="AI15" s="221">
        <v>7</v>
      </c>
      <c r="AJ15" s="197" t="e">
        <f t="shared" si="14"/>
        <v>#N/A</v>
      </c>
      <c r="AK15" s="197" t="str">
        <f t="shared" si="15"/>
        <v/>
      </c>
      <c r="AL15" s="197" t="str">
        <f t="shared" si="16"/>
        <v/>
      </c>
      <c r="AM15" s="197" t="str">
        <f t="shared" si="17"/>
        <v/>
      </c>
      <c r="AN15" s="197" t="str">
        <f t="shared" si="18"/>
        <v/>
      </c>
      <c r="AO15" s="197" t="b">
        <f t="shared" si="19"/>
        <v>0</v>
      </c>
      <c r="AP15" s="221">
        <v>7</v>
      </c>
      <c r="AQ15" s="168" t="str">
        <f t="shared" si="20"/>
        <v/>
      </c>
      <c r="AR15" s="171" t="b">
        <f t="shared" si="21"/>
        <v>0</v>
      </c>
    </row>
    <row r="16" spans="1:44" s="2" customFormat="1" ht="24" customHeight="1" x14ac:dyDescent="0.25">
      <c r="A16" s="8"/>
      <c r="B16" s="9">
        <v>9</v>
      </c>
      <c r="C16" s="347"/>
      <c r="D16" s="348"/>
      <c r="E16" s="32" t="str">
        <f t="shared" si="0"/>
        <v/>
      </c>
      <c r="F16" s="32" t="str">
        <f t="shared" si="1"/>
        <v/>
      </c>
      <c r="G16" s="68" t="str">
        <f t="shared" si="2"/>
        <v/>
      </c>
      <c r="H16" s="68" t="str">
        <f t="shared" si="3"/>
        <v/>
      </c>
      <c r="I16" s="68" t="str">
        <f t="shared" si="4"/>
        <v/>
      </c>
      <c r="J16" s="275" t="str">
        <f t="shared" si="5"/>
        <v/>
      </c>
      <c r="K16" s="256" t="str">
        <f t="shared" si="6"/>
        <v/>
      </c>
      <c r="L16" s="260"/>
      <c r="M16" s="263"/>
      <c r="N16" s="260"/>
      <c r="O16" s="264"/>
      <c r="P16" s="6"/>
      <c r="Q16" s="8"/>
      <c r="R16" s="170" t="str">
        <f t="shared" si="22"/>
        <v/>
      </c>
      <c r="S16" s="168" t="str">
        <f t="shared" si="7"/>
        <v/>
      </c>
      <c r="T16" s="168" t="str">
        <f t="shared" si="8"/>
        <v/>
      </c>
      <c r="U16" s="168"/>
      <c r="V16" s="168"/>
      <c r="W16" s="168"/>
      <c r="X16" s="168"/>
      <c r="Y16" s="171"/>
      <c r="Z16" s="170" t="e">
        <f t="shared" si="9"/>
        <v>#N/A</v>
      </c>
      <c r="AA16" s="168" t="e">
        <f t="shared" si="10"/>
        <v>#N/A</v>
      </c>
      <c r="AB16" s="168" t="str">
        <f t="shared" si="11"/>
        <v>$R$38:$R$52</v>
      </c>
      <c r="AC16" s="168"/>
      <c r="AD16" s="170" t="e">
        <f t="shared" si="12"/>
        <v>#N/A</v>
      </c>
      <c r="AE16" s="168" t="e">
        <f t="shared" si="13"/>
        <v>#N/A</v>
      </c>
      <c r="AF16" s="168"/>
      <c r="AG16" s="170"/>
      <c r="AH16" s="171"/>
      <c r="AI16" s="221">
        <v>8</v>
      </c>
      <c r="AJ16" s="197" t="e">
        <f t="shared" si="14"/>
        <v>#N/A</v>
      </c>
      <c r="AK16" s="197" t="str">
        <f t="shared" si="15"/>
        <v/>
      </c>
      <c r="AL16" s="197" t="str">
        <f t="shared" si="16"/>
        <v/>
      </c>
      <c r="AM16" s="197" t="str">
        <f t="shared" si="17"/>
        <v/>
      </c>
      <c r="AN16" s="197" t="str">
        <f t="shared" si="18"/>
        <v/>
      </c>
      <c r="AO16" s="197" t="b">
        <f t="shared" si="19"/>
        <v>0</v>
      </c>
      <c r="AP16" s="221">
        <v>8</v>
      </c>
      <c r="AQ16" s="168" t="str">
        <f t="shared" si="20"/>
        <v/>
      </c>
      <c r="AR16" s="171" t="b">
        <f t="shared" si="21"/>
        <v>0</v>
      </c>
    </row>
    <row r="17" spans="1:44" s="2" customFormat="1" ht="24" customHeight="1" x14ac:dyDescent="0.25">
      <c r="A17" s="8"/>
      <c r="B17" s="9">
        <v>10</v>
      </c>
      <c r="C17" s="347"/>
      <c r="D17" s="348"/>
      <c r="E17" s="32" t="str">
        <f t="shared" si="0"/>
        <v/>
      </c>
      <c r="F17" s="32" t="str">
        <f t="shared" si="1"/>
        <v/>
      </c>
      <c r="G17" s="68" t="str">
        <f t="shared" si="2"/>
        <v/>
      </c>
      <c r="H17" s="68" t="str">
        <f t="shared" si="3"/>
        <v/>
      </c>
      <c r="I17" s="68" t="str">
        <f t="shared" si="4"/>
        <v/>
      </c>
      <c r="J17" s="275" t="str">
        <f t="shared" si="5"/>
        <v/>
      </c>
      <c r="K17" s="256" t="str">
        <f t="shared" si="6"/>
        <v/>
      </c>
      <c r="L17" s="260"/>
      <c r="M17" s="263"/>
      <c r="N17" s="260"/>
      <c r="O17" s="264"/>
      <c r="P17" s="6"/>
      <c r="Q17" s="8"/>
      <c r="R17" s="170" t="str">
        <f t="shared" si="22"/>
        <v/>
      </c>
      <c r="S17" s="168" t="str">
        <f t="shared" si="7"/>
        <v/>
      </c>
      <c r="T17" s="168" t="str">
        <f t="shared" si="8"/>
        <v/>
      </c>
      <c r="U17" s="168"/>
      <c r="V17" s="168"/>
      <c r="W17" s="168"/>
      <c r="X17" s="168"/>
      <c r="Y17" s="171"/>
      <c r="Z17" s="170" t="e">
        <f t="shared" si="9"/>
        <v>#N/A</v>
      </c>
      <c r="AA17" s="168" t="e">
        <f t="shared" si="10"/>
        <v>#N/A</v>
      </c>
      <c r="AB17" s="168" t="str">
        <f t="shared" si="11"/>
        <v>$R$38:$R$52</v>
      </c>
      <c r="AC17" s="168"/>
      <c r="AD17" s="170" t="e">
        <f t="shared" si="12"/>
        <v>#N/A</v>
      </c>
      <c r="AE17" s="168" t="e">
        <f t="shared" si="13"/>
        <v>#N/A</v>
      </c>
      <c r="AF17" s="168"/>
      <c r="AG17" s="170"/>
      <c r="AH17" s="171"/>
      <c r="AI17" s="221">
        <v>9</v>
      </c>
      <c r="AJ17" s="197" t="e">
        <f t="shared" si="14"/>
        <v>#N/A</v>
      </c>
      <c r="AK17" s="197" t="str">
        <f t="shared" si="15"/>
        <v/>
      </c>
      <c r="AL17" s="197" t="str">
        <f t="shared" si="16"/>
        <v/>
      </c>
      <c r="AM17" s="197" t="str">
        <f t="shared" si="17"/>
        <v/>
      </c>
      <c r="AN17" s="197" t="str">
        <f t="shared" si="18"/>
        <v/>
      </c>
      <c r="AO17" s="197" t="b">
        <f t="shared" si="19"/>
        <v>0</v>
      </c>
      <c r="AP17" s="221">
        <v>9</v>
      </c>
      <c r="AQ17" s="168" t="str">
        <f t="shared" si="20"/>
        <v/>
      </c>
      <c r="AR17" s="171" t="b">
        <f t="shared" si="21"/>
        <v>0</v>
      </c>
    </row>
    <row r="18" spans="1:44" s="2" customFormat="1" ht="24" customHeight="1" x14ac:dyDescent="0.25">
      <c r="A18" s="8"/>
      <c r="B18" s="9">
        <v>11</v>
      </c>
      <c r="C18" s="347"/>
      <c r="D18" s="348"/>
      <c r="E18" s="32" t="str">
        <f t="shared" si="0"/>
        <v/>
      </c>
      <c r="F18" s="32" t="str">
        <f t="shared" si="1"/>
        <v/>
      </c>
      <c r="G18" s="68" t="str">
        <f t="shared" si="2"/>
        <v/>
      </c>
      <c r="H18" s="68" t="str">
        <f t="shared" si="3"/>
        <v/>
      </c>
      <c r="I18" s="68" t="str">
        <f t="shared" si="4"/>
        <v/>
      </c>
      <c r="J18" s="275" t="str">
        <f t="shared" si="5"/>
        <v/>
      </c>
      <c r="K18" s="256" t="str">
        <f t="shared" si="6"/>
        <v/>
      </c>
      <c r="L18" s="260"/>
      <c r="M18" s="263"/>
      <c r="N18" s="260"/>
      <c r="O18" s="264"/>
      <c r="P18" s="6"/>
      <c r="Q18" s="8"/>
      <c r="R18" s="170" t="str">
        <f t="shared" si="22"/>
        <v/>
      </c>
      <c r="S18" s="168" t="str">
        <f t="shared" si="7"/>
        <v/>
      </c>
      <c r="T18" s="168" t="str">
        <f t="shared" si="8"/>
        <v/>
      </c>
      <c r="U18" s="168"/>
      <c r="V18" s="168"/>
      <c r="W18" s="168"/>
      <c r="X18" s="168"/>
      <c r="Y18" s="171"/>
      <c r="Z18" s="170" t="e">
        <f t="shared" si="9"/>
        <v>#N/A</v>
      </c>
      <c r="AA18" s="168" t="e">
        <f t="shared" si="10"/>
        <v>#N/A</v>
      </c>
      <c r="AB18" s="168" t="str">
        <f t="shared" si="11"/>
        <v>$R$38:$R$52</v>
      </c>
      <c r="AC18" s="168"/>
      <c r="AD18" s="170" t="e">
        <f t="shared" si="12"/>
        <v>#N/A</v>
      </c>
      <c r="AE18" s="168" t="e">
        <f t="shared" si="13"/>
        <v>#N/A</v>
      </c>
      <c r="AF18" s="168"/>
      <c r="AG18" s="170"/>
      <c r="AH18" s="171"/>
      <c r="AI18" s="221">
        <v>10</v>
      </c>
      <c r="AJ18" s="197" t="e">
        <f t="shared" si="14"/>
        <v>#N/A</v>
      </c>
      <c r="AK18" s="197" t="str">
        <f t="shared" si="15"/>
        <v/>
      </c>
      <c r="AL18" s="197" t="str">
        <f t="shared" si="16"/>
        <v/>
      </c>
      <c r="AM18" s="197" t="str">
        <f t="shared" si="17"/>
        <v/>
      </c>
      <c r="AN18" s="197" t="str">
        <f t="shared" si="18"/>
        <v/>
      </c>
      <c r="AO18" s="197" t="b">
        <f t="shared" si="19"/>
        <v>0</v>
      </c>
      <c r="AP18" s="221">
        <v>10</v>
      </c>
      <c r="AQ18" s="168" t="str">
        <f t="shared" si="20"/>
        <v/>
      </c>
      <c r="AR18" s="171" t="b">
        <f t="shared" si="21"/>
        <v>0</v>
      </c>
    </row>
    <row r="19" spans="1:44" s="2" customFormat="1" ht="24" customHeight="1" x14ac:dyDescent="0.25">
      <c r="A19" s="8"/>
      <c r="B19" s="9">
        <v>12</v>
      </c>
      <c r="C19" s="347"/>
      <c r="D19" s="348"/>
      <c r="E19" s="32" t="str">
        <f t="shared" si="0"/>
        <v/>
      </c>
      <c r="F19" s="32" t="str">
        <f t="shared" si="1"/>
        <v/>
      </c>
      <c r="G19" s="68" t="str">
        <f t="shared" si="2"/>
        <v/>
      </c>
      <c r="H19" s="68" t="str">
        <f t="shared" si="3"/>
        <v/>
      </c>
      <c r="I19" s="68" t="str">
        <f t="shared" si="4"/>
        <v/>
      </c>
      <c r="J19" s="275" t="str">
        <f t="shared" si="5"/>
        <v/>
      </c>
      <c r="K19" s="256" t="str">
        <f t="shared" si="6"/>
        <v/>
      </c>
      <c r="L19" s="260"/>
      <c r="M19" s="263"/>
      <c r="N19" s="260"/>
      <c r="O19" s="264"/>
      <c r="P19" s="6"/>
      <c r="Q19" s="8"/>
      <c r="R19" s="170" t="str">
        <f t="shared" si="22"/>
        <v/>
      </c>
      <c r="S19" s="168" t="str">
        <f t="shared" si="7"/>
        <v/>
      </c>
      <c r="T19" s="168" t="str">
        <f t="shared" si="8"/>
        <v/>
      </c>
      <c r="U19" s="168"/>
      <c r="V19" s="168"/>
      <c r="W19" s="168"/>
      <c r="X19" s="168"/>
      <c r="Y19" s="171"/>
      <c r="Z19" s="170" t="e">
        <f t="shared" si="9"/>
        <v>#N/A</v>
      </c>
      <c r="AA19" s="168" t="e">
        <f t="shared" si="10"/>
        <v>#N/A</v>
      </c>
      <c r="AB19" s="168" t="str">
        <f t="shared" si="11"/>
        <v>$R$38:$R$52</v>
      </c>
      <c r="AC19" s="168"/>
      <c r="AD19" s="170" t="e">
        <f t="shared" si="12"/>
        <v>#N/A</v>
      </c>
      <c r="AE19" s="168" t="e">
        <f t="shared" si="13"/>
        <v>#N/A</v>
      </c>
      <c r="AF19" s="168"/>
      <c r="AG19" s="170"/>
      <c r="AH19" s="171"/>
      <c r="AI19" s="221">
        <v>11</v>
      </c>
      <c r="AJ19" s="197" t="e">
        <f t="shared" si="14"/>
        <v>#N/A</v>
      </c>
      <c r="AK19" s="197" t="str">
        <f t="shared" si="15"/>
        <v/>
      </c>
      <c r="AL19" s="197" t="str">
        <f t="shared" si="16"/>
        <v/>
      </c>
      <c r="AM19" s="197" t="str">
        <f t="shared" si="17"/>
        <v/>
      </c>
      <c r="AN19" s="197" t="str">
        <f t="shared" si="18"/>
        <v/>
      </c>
      <c r="AO19" s="197" t="b">
        <f t="shared" si="19"/>
        <v>0</v>
      </c>
      <c r="AP19" s="221">
        <v>11</v>
      </c>
      <c r="AQ19" s="168" t="str">
        <f t="shared" si="20"/>
        <v/>
      </c>
      <c r="AR19" s="171" t="b">
        <f t="shared" si="21"/>
        <v>0</v>
      </c>
    </row>
    <row r="20" spans="1:44" s="2" customFormat="1" ht="24" customHeight="1" x14ac:dyDescent="0.25">
      <c r="A20" s="8"/>
      <c r="B20" s="9">
        <v>13</v>
      </c>
      <c r="C20" s="347"/>
      <c r="D20" s="348"/>
      <c r="E20" s="32" t="str">
        <f t="shared" si="0"/>
        <v/>
      </c>
      <c r="F20" s="32" t="str">
        <f t="shared" si="1"/>
        <v/>
      </c>
      <c r="G20" s="68" t="str">
        <f t="shared" si="2"/>
        <v/>
      </c>
      <c r="H20" s="68" t="str">
        <f t="shared" si="3"/>
        <v/>
      </c>
      <c r="I20" s="68" t="str">
        <f t="shared" si="4"/>
        <v/>
      </c>
      <c r="J20" s="275" t="str">
        <f t="shared" si="5"/>
        <v/>
      </c>
      <c r="K20" s="256" t="str">
        <f t="shared" si="6"/>
        <v/>
      </c>
      <c r="L20" s="260"/>
      <c r="M20" s="263"/>
      <c r="N20" s="260"/>
      <c r="O20" s="264"/>
      <c r="P20" s="6"/>
      <c r="Q20" s="8"/>
      <c r="R20" s="170" t="str">
        <f t="shared" si="22"/>
        <v/>
      </c>
      <c r="S20" s="168" t="str">
        <f t="shared" si="7"/>
        <v/>
      </c>
      <c r="T20" s="168" t="str">
        <f t="shared" si="8"/>
        <v/>
      </c>
      <c r="U20" s="168"/>
      <c r="V20" s="168"/>
      <c r="W20" s="168"/>
      <c r="X20" s="168"/>
      <c r="Y20" s="171"/>
      <c r="Z20" s="170" t="e">
        <f t="shared" si="9"/>
        <v>#N/A</v>
      </c>
      <c r="AA20" s="168" t="e">
        <f t="shared" si="10"/>
        <v>#N/A</v>
      </c>
      <c r="AB20" s="168" t="str">
        <f t="shared" si="11"/>
        <v>$R$38:$R$52</v>
      </c>
      <c r="AC20" s="168"/>
      <c r="AD20" s="170" t="e">
        <f t="shared" si="12"/>
        <v>#N/A</v>
      </c>
      <c r="AE20" s="168" t="e">
        <f t="shared" si="13"/>
        <v>#N/A</v>
      </c>
      <c r="AF20" s="168"/>
      <c r="AG20" s="170"/>
      <c r="AH20" s="171"/>
      <c r="AI20" s="221">
        <v>12</v>
      </c>
      <c r="AJ20" s="197" t="e">
        <f t="shared" si="14"/>
        <v>#N/A</v>
      </c>
      <c r="AK20" s="197" t="str">
        <f t="shared" si="15"/>
        <v/>
      </c>
      <c r="AL20" s="197" t="str">
        <f t="shared" si="16"/>
        <v/>
      </c>
      <c r="AM20" s="197" t="str">
        <f t="shared" si="17"/>
        <v/>
      </c>
      <c r="AN20" s="197" t="str">
        <f t="shared" si="18"/>
        <v/>
      </c>
      <c r="AO20" s="197"/>
      <c r="AP20" s="221">
        <v>12</v>
      </c>
      <c r="AQ20" s="168" t="str">
        <f t="shared" si="20"/>
        <v/>
      </c>
      <c r="AR20" s="171" t="b">
        <f t="shared" si="21"/>
        <v>0</v>
      </c>
    </row>
    <row r="21" spans="1:44" s="2" customFormat="1" ht="24" customHeight="1" x14ac:dyDescent="0.25">
      <c r="A21" s="8"/>
      <c r="B21" s="9">
        <v>14</v>
      </c>
      <c r="C21" s="347"/>
      <c r="D21" s="348"/>
      <c r="E21" s="32" t="str">
        <f t="shared" si="0"/>
        <v/>
      </c>
      <c r="F21" s="32" t="str">
        <f t="shared" si="1"/>
        <v/>
      </c>
      <c r="G21" s="68" t="str">
        <f t="shared" si="2"/>
        <v/>
      </c>
      <c r="H21" s="68" t="str">
        <f t="shared" si="3"/>
        <v/>
      </c>
      <c r="I21" s="68" t="str">
        <f t="shared" si="4"/>
        <v/>
      </c>
      <c r="J21" s="275" t="str">
        <f t="shared" si="5"/>
        <v/>
      </c>
      <c r="K21" s="256" t="str">
        <f t="shared" si="6"/>
        <v/>
      </c>
      <c r="L21" s="260"/>
      <c r="M21" s="263"/>
      <c r="N21" s="260"/>
      <c r="O21" s="264"/>
      <c r="P21" s="6"/>
      <c r="Q21" s="8"/>
      <c r="R21" s="170" t="str">
        <f t="shared" si="22"/>
        <v/>
      </c>
      <c r="S21" s="168" t="str">
        <f t="shared" si="7"/>
        <v/>
      </c>
      <c r="T21" s="168" t="str">
        <f t="shared" si="8"/>
        <v/>
      </c>
      <c r="U21" s="168"/>
      <c r="V21" s="168"/>
      <c r="W21" s="168"/>
      <c r="X21" s="168"/>
      <c r="Y21" s="171"/>
      <c r="Z21" s="170" t="e">
        <f t="shared" si="9"/>
        <v>#N/A</v>
      </c>
      <c r="AA21" s="168" t="e">
        <f t="shared" si="10"/>
        <v>#N/A</v>
      </c>
      <c r="AB21" s="168" t="str">
        <f t="shared" si="11"/>
        <v>$R$38:$R$52</v>
      </c>
      <c r="AC21" s="168"/>
      <c r="AD21" s="170" t="e">
        <f t="shared" si="12"/>
        <v>#N/A</v>
      </c>
      <c r="AE21" s="168" t="e">
        <f t="shared" si="13"/>
        <v>#N/A</v>
      </c>
      <c r="AF21" s="168"/>
      <c r="AG21" s="170"/>
      <c r="AH21" s="171"/>
      <c r="AI21" s="221">
        <v>13</v>
      </c>
      <c r="AJ21" s="197" t="e">
        <f t="shared" si="14"/>
        <v>#N/A</v>
      </c>
      <c r="AK21" s="197" t="str">
        <f t="shared" si="15"/>
        <v/>
      </c>
      <c r="AL21" s="197" t="str">
        <f t="shared" si="16"/>
        <v/>
      </c>
      <c r="AM21" s="197" t="str">
        <f t="shared" si="17"/>
        <v/>
      </c>
      <c r="AN21" s="197" t="str">
        <f t="shared" si="18"/>
        <v/>
      </c>
      <c r="AO21" s="197"/>
      <c r="AP21" s="221">
        <v>13</v>
      </c>
      <c r="AQ21" s="168" t="str">
        <f t="shared" si="20"/>
        <v/>
      </c>
      <c r="AR21" s="171" t="b">
        <f t="shared" si="21"/>
        <v>0</v>
      </c>
    </row>
    <row r="22" spans="1:44" s="2" customFormat="1" ht="24" customHeight="1" x14ac:dyDescent="0.25">
      <c r="A22" s="8"/>
      <c r="B22" s="9">
        <v>15</v>
      </c>
      <c r="C22" s="347"/>
      <c r="D22" s="348"/>
      <c r="E22" s="32" t="str">
        <f t="shared" si="0"/>
        <v/>
      </c>
      <c r="F22" s="32" t="str">
        <f t="shared" si="1"/>
        <v/>
      </c>
      <c r="G22" s="68" t="str">
        <f t="shared" si="2"/>
        <v/>
      </c>
      <c r="H22" s="68" t="str">
        <f t="shared" si="3"/>
        <v/>
      </c>
      <c r="I22" s="68" t="str">
        <f t="shared" si="4"/>
        <v/>
      </c>
      <c r="J22" s="275" t="str">
        <f t="shared" si="5"/>
        <v/>
      </c>
      <c r="K22" s="256" t="str">
        <f t="shared" si="6"/>
        <v/>
      </c>
      <c r="L22" s="260"/>
      <c r="M22" s="263"/>
      <c r="N22" s="260"/>
      <c r="O22" s="264"/>
      <c r="P22" s="6"/>
      <c r="Q22" s="8"/>
      <c r="R22" s="170" t="str">
        <f t="shared" si="22"/>
        <v/>
      </c>
      <c r="S22" s="168" t="str">
        <f t="shared" si="7"/>
        <v/>
      </c>
      <c r="T22" s="168" t="str">
        <f t="shared" si="8"/>
        <v/>
      </c>
      <c r="U22" s="168"/>
      <c r="V22" s="168"/>
      <c r="W22" s="168"/>
      <c r="X22" s="168"/>
      <c r="Y22" s="171"/>
      <c r="Z22" s="170" t="e">
        <f t="shared" si="9"/>
        <v>#N/A</v>
      </c>
      <c r="AA22" s="168" t="e">
        <f t="shared" si="10"/>
        <v>#N/A</v>
      </c>
      <c r="AB22" s="168" t="str">
        <f t="shared" si="11"/>
        <v>$R$38:$R$52</v>
      </c>
      <c r="AC22" s="168"/>
      <c r="AD22" s="170" t="e">
        <f t="shared" si="12"/>
        <v>#N/A</v>
      </c>
      <c r="AE22" s="168" t="e">
        <f t="shared" si="13"/>
        <v>#N/A</v>
      </c>
      <c r="AF22" s="168"/>
      <c r="AG22" s="170"/>
      <c r="AH22" s="171"/>
      <c r="AI22" s="221">
        <v>14</v>
      </c>
      <c r="AJ22" s="197" t="e">
        <f t="shared" si="14"/>
        <v>#N/A</v>
      </c>
      <c r="AK22" s="197" t="str">
        <f t="shared" si="15"/>
        <v/>
      </c>
      <c r="AL22" s="197" t="str">
        <f t="shared" si="16"/>
        <v/>
      </c>
      <c r="AM22" s="197" t="str">
        <f t="shared" si="17"/>
        <v/>
      </c>
      <c r="AN22" s="197" t="str">
        <f t="shared" si="18"/>
        <v/>
      </c>
      <c r="AO22" s="197"/>
      <c r="AP22" s="221">
        <v>14</v>
      </c>
      <c r="AQ22" s="168" t="str">
        <f t="shared" si="20"/>
        <v/>
      </c>
      <c r="AR22" s="171" t="b">
        <f t="shared" si="21"/>
        <v>0</v>
      </c>
    </row>
    <row r="23" spans="1:44" s="2" customFormat="1" ht="24" customHeight="1" thickBot="1" x14ac:dyDescent="0.3">
      <c r="A23" s="8"/>
      <c r="B23" s="10">
        <v>16</v>
      </c>
      <c r="C23" s="349"/>
      <c r="D23" s="350"/>
      <c r="E23" s="138" t="str">
        <f t="shared" si="0"/>
        <v/>
      </c>
      <c r="F23" s="138" t="str">
        <f t="shared" si="1"/>
        <v/>
      </c>
      <c r="G23" s="139" t="str">
        <f t="shared" si="2"/>
        <v/>
      </c>
      <c r="H23" s="139" t="str">
        <f t="shared" si="3"/>
        <v/>
      </c>
      <c r="I23" s="139" t="str">
        <f t="shared" si="4"/>
        <v/>
      </c>
      <c r="J23" s="276" t="str">
        <f t="shared" si="5"/>
        <v/>
      </c>
      <c r="K23" s="257" t="str">
        <f t="shared" si="6"/>
        <v/>
      </c>
      <c r="L23" s="265"/>
      <c r="M23" s="266"/>
      <c r="N23" s="265"/>
      <c r="O23" s="267"/>
      <c r="P23" s="6"/>
      <c r="Q23" s="8"/>
      <c r="R23" s="170" t="str">
        <f t="shared" si="22"/>
        <v/>
      </c>
      <c r="S23" s="168" t="str">
        <f t="shared" si="7"/>
        <v/>
      </c>
      <c r="T23" s="168" t="str">
        <f t="shared" si="8"/>
        <v/>
      </c>
      <c r="U23" s="168"/>
      <c r="V23" s="168"/>
      <c r="W23" s="168"/>
      <c r="X23" s="168"/>
      <c r="Y23" s="171"/>
      <c r="Z23" s="170" t="e">
        <f t="shared" si="9"/>
        <v>#N/A</v>
      </c>
      <c r="AA23" s="168" t="e">
        <f t="shared" si="10"/>
        <v>#N/A</v>
      </c>
      <c r="AB23" s="168" t="str">
        <f t="shared" si="11"/>
        <v>$R$38:$R$52</v>
      </c>
      <c r="AC23" s="168"/>
      <c r="AD23" s="170" t="e">
        <f t="shared" si="12"/>
        <v>#N/A</v>
      </c>
      <c r="AE23" s="168" t="e">
        <f t="shared" si="13"/>
        <v>#N/A</v>
      </c>
      <c r="AF23" s="168"/>
      <c r="AG23" s="170"/>
      <c r="AH23" s="171"/>
      <c r="AI23" s="221">
        <v>15</v>
      </c>
      <c r="AJ23" s="197" t="e">
        <f t="shared" si="14"/>
        <v>#N/A</v>
      </c>
      <c r="AK23" s="197" t="str">
        <f t="shared" si="15"/>
        <v/>
      </c>
      <c r="AL23" s="197" t="str">
        <f t="shared" si="16"/>
        <v/>
      </c>
      <c r="AM23" s="197" t="str">
        <f t="shared" si="17"/>
        <v/>
      </c>
      <c r="AN23" s="197" t="str">
        <f t="shared" si="18"/>
        <v/>
      </c>
      <c r="AO23" s="197"/>
      <c r="AP23" s="221">
        <v>15</v>
      </c>
      <c r="AQ23" s="168" t="str">
        <f t="shared" si="20"/>
        <v/>
      </c>
      <c r="AR23" s="171" t="b">
        <f t="shared" si="21"/>
        <v>0</v>
      </c>
    </row>
    <row r="24" spans="1:44" s="2" customFormat="1" ht="24" customHeight="1" x14ac:dyDescent="0.25">
      <c r="A24" s="8"/>
      <c r="B24" s="11" t="s">
        <v>524</v>
      </c>
      <c r="C24" s="351" t="s">
        <v>956</v>
      </c>
      <c r="D24" s="352"/>
      <c r="E24" s="26" t="str">
        <f>IFERROR(VLOOKUP(C24,StarplayerList,3,FALSE),"")</f>
        <v/>
      </c>
      <c r="F24" s="26" t="str">
        <f>IFERROR(VLOOKUP(C24,StarplayerList,4,FALSE),"")</f>
        <v/>
      </c>
      <c r="G24" s="69" t="str">
        <f>IFERROR(VLOOKUP(C24,StarplayerList,5,FALSE),"")</f>
        <v/>
      </c>
      <c r="H24" s="69" t="str">
        <f>IFERROR(VLOOKUP(C24,StarplayerList,6,FALSE),"")</f>
        <v/>
      </c>
      <c r="I24" s="69" t="str">
        <f>IFERROR(VLOOKUP(C24,StarplayerList,7,FALSE),"")</f>
        <v/>
      </c>
      <c r="J24" s="277" t="str">
        <f>IFERROR(VLOOKUP(C24,StarplayerList,8,FALSE),"")</f>
        <v/>
      </c>
      <c r="K24" s="258" t="str">
        <f>IFERROR(1000*VLOOKUP(C24,StarplayerList,2,FALSE),"")</f>
        <v/>
      </c>
      <c r="L24" s="339" t="str">
        <f>IFERROR(VLOOKUP(C24,StarplayerList,9,FALSE),"")</f>
        <v/>
      </c>
      <c r="M24" s="340"/>
      <c r="N24" s="343" t="str">
        <f>IFERROR(VLOOKUP(C24,StarplayerList,12,FALSE),"")</f>
        <v/>
      </c>
      <c r="O24" s="344"/>
      <c r="P24" s="6"/>
      <c r="Q24" s="8"/>
      <c r="R24" s="170"/>
      <c r="S24" s="168"/>
      <c r="T24" s="168"/>
      <c r="U24" s="168"/>
      <c r="V24" s="168"/>
      <c r="W24" s="168"/>
      <c r="X24" s="168"/>
      <c r="Y24" s="171"/>
      <c r="Z24" s="170"/>
      <c r="AA24" s="168"/>
      <c r="AB24" s="168"/>
      <c r="AC24" s="168"/>
      <c r="AD24" s="170"/>
      <c r="AE24" s="168"/>
      <c r="AF24" s="168"/>
      <c r="AG24" s="170"/>
      <c r="AH24" s="171"/>
      <c r="AI24" s="221">
        <v>16</v>
      </c>
      <c r="AJ24" s="197" t="e">
        <f t="shared" si="14"/>
        <v>#N/A</v>
      </c>
      <c r="AK24" s="197" t="str">
        <f t="shared" si="15"/>
        <v/>
      </c>
      <c r="AL24" s="197" t="str">
        <f t="shared" si="16"/>
        <v/>
      </c>
      <c r="AM24" s="197" t="str">
        <f t="shared" si="17"/>
        <v/>
      </c>
      <c r="AN24" s="197" t="str">
        <f t="shared" si="18"/>
        <v/>
      </c>
      <c r="AO24" s="197"/>
      <c r="AP24" s="221">
        <v>16</v>
      </c>
      <c r="AQ24" s="168" t="str">
        <f t="shared" si="20"/>
        <v/>
      </c>
      <c r="AR24" s="171" t="b">
        <f t="shared" si="21"/>
        <v>0</v>
      </c>
    </row>
    <row r="25" spans="1:44" s="2" customFormat="1" ht="24" customHeight="1" thickBot="1" x14ac:dyDescent="0.3">
      <c r="A25" s="8"/>
      <c r="B25" s="10" t="s">
        <v>525</v>
      </c>
      <c r="C25" s="360" t="s">
        <v>956</v>
      </c>
      <c r="D25" s="361"/>
      <c r="E25" s="27" t="str">
        <f>IFERROR(VLOOKUP(C25,StarplayerList,3,FALSE),"")</f>
        <v/>
      </c>
      <c r="F25" s="27" t="str">
        <f>IFERROR(VLOOKUP(C25,StarplayerList,4,FALSE),"")</f>
        <v/>
      </c>
      <c r="G25" s="70" t="str">
        <f>IFERROR(VLOOKUP(C25,StarplayerList,5,FALSE),"")</f>
        <v/>
      </c>
      <c r="H25" s="70" t="str">
        <f>IFERROR(VLOOKUP(C25,StarplayerList,6,FALSE),"")</f>
        <v/>
      </c>
      <c r="I25" s="70" t="str">
        <f>IFERROR(VLOOKUP(C25,StarplayerList,7,FALSE),"")</f>
        <v/>
      </c>
      <c r="J25" s="276" t="str">
        <f>IFERROR(VLOOKUP(C25,StarplayerList,8,FALSE),"")</f>
        <v/>
      </c>
      <c r="K25" s="259" t="str">
        <f>IFERROR(1000*VLOOKUP(C25,StarplayerList,2,FALSE),"")</f>
        <v/>
      </c>
      <c r="L25" s="341" t="str">
        <f>IFERROR(VLOOKUP(C25,StarplayerList,9,FALSE),"")</f>
        <v/>
      </c>
      <c r="M25" s="342"/>
      <c r="N25" s="345" t="str">
        <f>IFERROR(VLOOKUP(C25,StarplayerList,12,FALSE),"")</f>
        <v/>
      </c>
      <c r="O25" s="346"/>
      <c r="P25" s="6"/>
      <c r="Q25" s="8"/>
      <c r="R25" s="172"/>
      <c r="S25" s="173"/>
      <c r="T25" s="173"/>
      <c r="U25" s="173"/>
      <c r="V25" s="173"/>
      <c r="W25" s="173"/>
      <c r="X25" s="173"/>
      <c r="Y25" s="174"/>
      <c r="Z25" s="172"/>
      <c r="AA25" s="173"/>
      <c r="AB25" s="173"/>
      <c r="AC25" s="173"/>
      <c r="AD25" s="172"/>
      <c r="AE25" s="173"/>
      <c r="AF25" s="173"/>
      <c r="AG25" s="172"/>
      <c r="AH25" s="174"/>
      <c r="AI25" s="222"/>
      <c r="AJ25" s="198"/>
      <c r="AK25" s="198"/>
      <c r="AL25" s="198"/>
      <c r="AM25" s="198"/>
      <c r="AN25" s="198"/>
      <c r="AO25" s="198"/>
      <c r="AP25" s="221">
        <v>17</v>
      </c>
      <c r="AQ25" s="168" t="str">
        <f t="shared" si="20"/>
        <v/>
      </c>
      <c r="AR25" s="171" t="b">
        <f t="shared" si="21"/>
        <v>0</v>
      </c>
    </row>
    <row r="26" spans="1:44" ht="15" customHeight="1" thickBot="1" x14ac:dyDescent="0.3">
      <c r="B26" s="22"/>
      <c r="C26" s="6"/>
      <c r="D26" s="6"/>
      <c r="E26" s="87"/>
      <c r="F26" s="87"/>
      <c r="G26" s="87"/>
      <c r="H26" s="87"/>
      <c r="I26" s="87"/>
      <c r="J26" s="6"/>
      <c r="K26" s="6"/>
      <c r="L26" s="6"/>
      <c r="M26" s="6"/>
      <c r="N26" s="6"/>
      <c r="O26" s="6"/>
      <c r="P26" s="6"/>
      <c r="Q26" s="6"/>
      <c r="R26" s="6"/>
      <c r="S26" s="6"/>
      <c r="T26" s="6"/>
      <c r="U26" s="6"/>
      <c r="V26" s="6"/>
      <c r="W26" s="6"/>
      <c r="X26" s="6"/>
      <c r="Y26" s="6"/>
      <c r="Z26" s="6"/>
      <c r="AA26" s="6"/>
      <c r="AB26" s="6"/>
      <c r="AC26" s="6"/>
      <c r="AM26" s="6"/>
      <c r="AN26" s="6"/>
      <c r="AO26" s="6"/>
      <c r="AP26" s="221">
        <v>18</v>
      </c>
      <c r="AQ26" s="168" t="str">
        <f t="shared" si="20"/>
        <v/>
      </c>
      <c r="AR26" s="171" t="b">
        <f t="shared" ref="AR26:AR33" si="23">IF(IF(AND(AQ25&lt;&gt;"",AQ25&lt;&gt;"Select Team to see available Star Players"),COUNTIF($C$24:$C$25,AQ25),0)&gt;1,TRUE,FALSE)</f>
        <v>0</v>
      </c>
    </row>
    <row r="27" spans="1:44" ht="14.45" customHeight="1" thickBot="1" x14ac:dyDescent="0.3">
      <c r="B27" s="374" t="s">
        <v>965</v>
      </c>
      <c r="C27" s="375"/>
      <c r="D27" s="376"/>
      <c r="E27" s="353">
        <f>1150000-E37</f>
        <v>1150000</v>
      </c>
      <c r="F27" s="354"/>
      <c r="G27" s="355"/>
      <c r="H27" s="127"/>
      <c r="I27" s="127"/>
      <c r="J27" s="230" t="s">
        <v>623</v>
      </c>
      <c r="K27" s="6"/>
      <c r="L27" s="362" t="s">
        <v>955</v>
      </c>
      <c r="M27" s="363"/>
      <c r="N27" s="363"/>
      <c r="O27" s="364"/>
      <c r="P27" s="6"/>
      <c r="Q27" s="6"/>
      <c r="R27" s="212" t="s">
        <v>922</v>
      </c>
      <c r="S27" s="213"/>
      <c r="T27" s="213"/>
      <c r="U27" s="213"/>
      <c r="V27" s="214"/>
      <c r="W27" s="214"/>
      <c r="X27" s="214"/>
      <c r="Y27" s="215"/>
      <c r="Z27" s="6"/>
      <c r="AA27" s="6"/>
      <c r="AB27" s="6"/>
      <c r="AC27" s="6"/>
      <c r="AM27" s="6"/>
      <c r="AN27" s="6"/>
      <c r="AO27" s="6"/>
      <c r="AP27" s="221">
        <v>19</v>
      </c>
      <c r="AQ27" s="168" t="str">
        <f t="shared" si="20"/>
        <v/>
      </c>
      <c r="AR27" s="171" t="b">
        <f t="shared" si="23"/>
        <v>0</v>
      </c>
    </row>
    <row r="28" spans="1:44" ht="15" customHeight="1" x14ac:dyDescent="0.25">
      <c r="B28" s="131">
        <v>0</v>
      </c>
      <c r="C28" s="253" t="s">
        <v>11</v>
      </c>
      <c r="D28" s="255">
        <v>10000</v>
      </c>
      <c r="E28" s="328">
        <f>B28*D28</f>
        <v>0</v>
      </c>
      <c r="F28" s="328"/>
      <c r="G28" s="329"/>
      <c r="H28" s="127"/>
      <c r="I28" s="127"/>
      <c r="J28" s="379" t="str">
        <f>IFERROR(VLOOKUP(AH8,Special_Rules,2,TRUE),"")</f>
        <v/>
      </c>
      <c r="K28" s="6"/>
      <c r="L28" s="365" t="str">
        <f>IFERROR(VLOOKUP(C24,StarplayerList,10,FALSE),"") &amp; " " &amp; CHAR(10) &amp;
IFERROR(VLOOKUP(C25,StarplayerList,10,FALSE),"")</f>
        <v xml:space="preserve"> 
</v>
      </c>
      <c r="M28" s="366"/>
      <c r="N28" s="366"/>
      <c r="O28" s="367"/>
      <c r="P28" s="6"/>
      <c r="Q28" s="6"/>
      <c r="R28" s="282" t="s">
        <v>921</v>
      </c>
      <c r="S28" s="281"/>
      <c r="T28" s="283" t="s">
        <v>932</v>
      </c>
      <c r="U28" s="284" t="str">
        <f>J2</f>
        <v>Select Skill Pack</v>
      </c>
      <c r="V28" s="285"/>
      <c r="W28" s="285"/>
      <c r="X28" s="285"/>
      <c r="Y28" s="286"/>
      <c r="Z28" s="6"/>
      <c r="AA28" s="6"/>
      <c r="AB28" s="6"/>
      <c r="AC28" s="6"/>
      <c r="AM28" s="6"/>
      <c r="AN28" s="6"/>
      <c r="AO28" s="6"/>
      <c r="AP28" s="221">
        <v>20</v>
      </c>
      <c r="AQ28" s="168" t="str">
        <f t="shared" si="20"/>
        <v/>
      </c>
      <c r="AR28" s="171" t="b">
        <f t="shared" si="23"/>
        <v>0</v>
      </c>
    </row>
    <row r="29" spans="1:44" ht="14.45" customHeight="1" x14ac:dyDescent="0.25">
      <c r="B29" s="129">
        <v>0</v>
      </c>
      <c r="C29" s="254" t="s">
        <v>12</v>
      </c>
      <c r="D29" s="255">
        <f>1000*IFERROR(VLOOKUP($D$2,Teams!B2:F31,5,FALSE),0)</f>
        <v>0</v>
      </c>
      <c r="E29" s="326">
        <f>B29*D29</f>
        <v>0</v>
      </c>
      <c r="F29" s="326"/>
      <c r="G29" s="327"/>
      <c r="H29" s="127"/>
      <c r="I29" s="127"/>
      <c r="J29" s="380"/>
      <c r="K29" s="227"/>
      <c r="L29" s="368"/>
      <c r="M29" s="369"/>
      <c r="N29" s="369"/>
      <c r="O29" s="370"/>
      <c r="P29" s="6"/>
      <c r="Q29" s="6"/>
      <c r="R29" s="207"/>
      <c r="S29" s="181"/>
      <c r="T29" s="208"/>
      <c r="U29" s="209" t="s">
        <v>925</v>
      </c>
      <c r="V29" s="209" t="s">
        <v>930</v>
      </c>
      <c r="W29" s="210" t="s">
        <v>926</v>
      </c>
      <c r="X29" s="208"/>
      <c r="Y29" s="181" t="e">
        <f>OR(Y30:Y32)</f>
        <v>#N/A</v>
      </c>
      <c r="Z29" s="6"/>
      <c r="AA29" s="6"/>
      <c r="AB29" s="6"/>
      <c r="AC29" s="6"/>
      <c r="AM29" s="6"/>
      <c r="AN29" s="6"/>
      <c r="AO29" s="6"/>
      <c r="AP29" s="221">
        <v>21</v>
      </c>
      <c r="AQ29" s="168" t="str">
        <f t="shared" si="20"/>
        <v/>
      </c>
      <c r="AR29" s="171" t="b">
        <f t="shared" si="23"/>
        <v>0</v>
      </c>
    </row>
    <row r="30" spans="1:44" ht="15" customHeight="1" x14ac:dyDescent="0.25">
      <c r="B30" s="129">
        <v>0</v>
      </c>
      <c r="C30" s="254" t="s">
        <v>13</v>
      </c>
      <c r="D30" s="255">
        <v>10000</v>
      </c>
      <c r="E30" s="326">
        <f>B30*D30</f>
        <v>0</v>
      </c>
      <c r="F30" s="326"/>
      <c r="G30" s="327"/>
      <c r="H30" s="127"/>
      <c r="I30" s="127"/>
      <c r="J30" s="381"/>
      <c r="K30" s="227"/>
      <c r="L30" s="368"/>
      <c r="M30" s="369"/>
      <c r="N30" s="369"/>
      <c r="O30" s="370"/>
      <c r="P30" s="6"/>
      <c r="Q30" s="6"/>
      <c r="R30" s="178" t="s">
        <v>920</v>
      </c>
      <c r="S30" s="181"/>
      <c r="T30" s="210" t="s">
        <v>306</v>
      </c>
      <c r="U30" s="203">
        <f>COUNTIF(L8:L23,"Primary Skill")</f>
        <v>0</v>
      </c>
      <c r="V30" s="203" t="e">
        <f>INDEX(Allowed_skills,MATCH(U28,Skill_Packs!B10:B37,0),2)</f>
        <v>#N/A</v>
      </c>
      <c r="W30" s="180" t="s">
        <v>967</v>
      </c>
      <c r="X30" s="180"/>
      <c r="Y30" s="181" t="e">
        <f>U30+U33&gt;SUM(V30:V31)</f>
        <v>#N/A</v>
      </c>
      <c r="Z30" s="6"/>
      <c r="AA30" s="6"/>
      <c r="AB30" s="6"/>
      <c r="AC30" s="6"/>
      <c r="AM30" s="6"/>
      <c r="AN30" s="6"/>
      <c r="AO30" s="6"/>
      <c r="AP30" s="221">
        <v>22</v>
      </c>
      <c r="AQ30" s="168" t="str">
        <f t="shared" si="20"/>
        <v/>
      </c>
      <c r="AR30" s="171" t="b">
        <f t="shared" si="23"/>
        <v>0</v>
      </c>
    </row>
    <row r="31" spans="1:44" ht="15" customHeight="1" x14ac:dyDescent="0.25">
      <c r="B31" s="129">
        <v>0</v>
      </c>
      <c r="C31" s="254" t="s">
        <v>14</v>
      </c>
      <c r="D31" s="255">
        <v>10000</v>
      </c>
      <c r="E31" s="326">
        <f>B31*D31</f>
        <v>0</v>
      </c>
      <c r="F31" s="326"/>
      <c r="G31" s="327"/>
      <c r="H31" s="127"/>
      <c r="I31" s="127"/>
      <c r="J31" s="380" t="str">
        <f>IFERROR(IFERROR(VLOOKUP(LEFT($AH$8,3),SpecialRules,3,FALSE),"") &amp; IFERROR(VLOOKUP(MID($AH$8,4,3),SpecialRules,3,FALSE),""),"")</f>
        <v/>
      </c>
      <c r="K31" s="227"/>
      <c r="L31" s="368"/>
      <c r="M31" s="369"/>
      <c r="N31" s="369"/>
      <c r="O31" s="370"/>
      <c r="P31" s="6"/>
      <c r="Q31" s="6"/>
      <c r="R31" s="178" t="s">
        <v>919</v>
      </c>
      <c r="S31" s="181"/>
      <c r="T31" s="210" t="s">
        <v>307</v>
      </c>
      <c r="U31" s="203">
        <f>COUNTIF(L8:L23,"Secondary Skill")</f>
        <v>0</v>
      </c>
      <c r="V31" s="203" t="e">
        <f>INDEX(Allowed_skills,MATCH(U28,Skill_Packs!B10:B37,0),3)</f>
        <v>#N/A</v>
      </c>
      <c r="W31" s="180" t="s">
        <v>968</v>
      </c>
      <c r="X31" s="180"/>
      <c r="Y31" s="181" t="e">
        <f>AND(U30+U33=SUM(V30:V31), SUM(U31:U32)&gt;0)</f>
        <v>#N/A</v>
      </c>
      <c r="Z31" s="6"/>
      <c r="AA31" s="6"/>
      <c r="AB31" s="6"/>
      <c r="AC31" s="6"/>
      <c r="AM31" s="6"/>
      <c r="AN31" s="6"/>
      <c r="AO31" s="6"/>
      <c r="AP31" s="221">
        <v>23</v>
      </c>
      <c r="AQ31" s="168" t="str">
        <f t="shared" si="20"/>
        <v/>
      </c>
      <c r="AR31" s="171" t="b">
        <f t="shared" si="23"/>
        <v>0</v>
      </c>
    </row>
    <row r="32" spans="1:44" ht="15" customHeight="1" x14ac:dyDescent="0.25">
      <c r="B32" s="129">
        <v>0</v>
      </c>
      <c r="C32" s="254" t="s">
        <v>817</v>
      </c>
      <c r="D32" s="255">
        <v>50000</v>
      </c>
      <c r="E32" s="326">
        <f t="shared" ref="E32:E34" si="24">B32*D32</f>
        <v>0</v>
      </c>
      <c r="F32" s="326"/>
      <c r="G32" s="327"/>
      <c r="H32" s="87"/>
      <c r="I32" s="87"/>
      <c r="J32" s="380"/>
      <c r="K32" s="227"/>
      <c r="L32" s="368"/>
      <c r="M32" s="369"/>
      <c r="N32" s="369"/>
      <c r="O32" s="370"/>
      <c r="P32" s="6"/>
      <c r="Q32" s="6"/>
      <c r="R32" s="178" t="s">
        <v>933</v>
      </c>
      <c r="S32" s="181"/>
      <c r="T32" s="210" t="s">
        <v>923</v>
      </c>
      <c r="U32" s="203">
        <f>COUNTIF(N8:N23,"Primary Skill")</f>
        <v>0</v>
      </c>
      <c r="V32" s="203"/>
      <c r="W32" s="180" t="s">
        <v>969</v>
      </c>
      <c r="X32" s="180"/>
      <c r="Y32" s="181" t="e">
        <f>SUM(U31:U32)&gt;V31</f>
        <v>#N/A</v>
      </c>
      <c r="Z32" s="6"/>
      <c r="AA32" s="6"/>
      <c r="AB32" s="6"/>
      <c r="AC32" s="6"/>
      <c r="AM32" s="6"/>
      <c r="AN32" s="6"/>
      <c r="AO32" s="6"/>
      <c r="AP32" s="221">
        <v>24</v>
      </c>
      <c r="AQ32" s="168" t="str">
        <f t="shared" si="20"/>
        <v/>
      </c>
      <c r="AR32" s="171" t="b">
        <f t="shared" si="23"/>
        <v>0</v>
      </c>
    </row>
    <row r="33" spans="1:44" x14ac:dyDescent="0.25">
      <c r="B33" s="129">
        <v>0</v>
      </c>
      <c r="C33" s="254" t="s">
        <v>818</v>
      </c>
      <c r="D33" s="255">
        <f>AH14</f>
        <v>100000</v>
      </c>
      <c r="E33" s="326">
        <f t="shared" si="24"/>
        <v>0</v>
      </c>
      <c r="F33" s="326"/>
      <c r="G33" s="327"/>
      <c r="H33" s="87"/>
      <c r="I33" s="87"/>
      <c r="J33" s="380"/>
      <c r="K33" s="227"/>
      <c r="L33" s="368"/>
      <c r="M33" s="369"/>
      <c r="N33" s="369"/>
      <c r="O33" s="370"/>
      <c r="P33" s="6"/>
      <c r="Q33" s="6"/>
      <c r="R33" s="204"/>
      <c r="S33" s="200"/>
      <c r="T33" s="211" t="s">
        <v>966</v>
      </c>
      <c r="U33" s="205">
        <f>IFERROR(VLOOKUP(C24,StarplayerList,13,FALSE),0) + IFERROR(VLOOKUP(C25,StarplayerList,13,FALSE),0)</f>
        <v>0</v>
      </c>
      <c r="V33" s="205"/>
      <c r="W33" s="182"/>
      <c r="X33" s="182"/>
      <c r="Y33" s="200"/>
      <c r="Z33" s="6"/>
      <c r="AA33" s="6"/>
      <c r="AB33" s="6"/>
      <c r="AC33" s="6"/>
      <c r="AM33" s="6"/>
      <c r="AN33" s="6"/>
      <c r="AO33" s="6"/>
      <c r="AP33" s="221">
        <v>25</v>
      </c>
      <c r="AQ33" s="168" t="str">
        <f t="shared" si="20"/>
        <v/>
      </c>
      <c r="AR33" s="171" t="b">
        <f t="shared" si="23"/>
        <v>0</v>
      </c>
    </row>
    <row r="34" spans="1:44" x14ac:dyDescent="0.25">
      <c r="B34" s="129">
        <v>0</v>
      </c>
      <c r="C34" s="254" t="s">
        <v>819</v>
      </c>
      <c r="D34" s="255">
        <f>AH13</f>
        <v>300000</v>
      </c>
      <c r="E34" s="326">
        <f t="shared" si="24"/>
        <v>0</v>
      </c>
      <c r="F34" s="326"/>
      <c r="G34" s="327"/>
      <c r="H34" s="87"/>
      <c r="I34" s="87"/>
      <c r="J34" s="380"/>
      <c r="K34" s="227"/>
      <c r="L34" s="368"/>
      <c r="M34" s="369"/>
      <c r="N34" s="369"/>
      <c r="O34" s="370"/>
      <c r="P34" s="6"/>
      <c r="Q34" s="16"/>
      <c r="R34" s="6"/>
      <c r="S34" s="6"/>
      <c r="T34" s="6"/>
      <c r="U34" s="6"/>
      <c r="V34" s="6"/>
      <c r="W34" s="6"/>
      <c r="X34" s="6"/>
      <c r="Y34" s="6"/>
      <c r="Z34" s="6"/>
      <c r="AA34" s="6"/>
      <c r="AB34" s="6"/>
      <c r="AC34" s="6"/>
      <c r="AM34" s="6"/>
      <c r="AN34" s="6"/>
      <c r="AO34" s="6"/>
      <c r="AP34" s="221">
        <v>26</v>
      </c>
      <c r="AQ34" s="168" t="str">
        <f t="shared" si="20"/>
        <v/>
      </c>
      <c r="AR34" s="171" t="b">
        <f t="shared" ref="AR34:AR38" si="25">IF(IF(AND(AQ33&lt;&gt;"",AQ33&lt;&gt;"Select Team to see available Star Players"),COUNTIF($C$24:$C$25,AQ33),0)&gt;1,TRUE,FALSE)</f>
        <v>0</v>
      </c>
    </row>
    <row r="35" spans="1:44" x14ac:dyDescent="0.25">
      <c r="B35" s="129">
        <v>0</v>
      </c>
      <c r="C35" s="254" t="s">
        <v>816</v>
      </c>
      <c r="D35" s="255" t="s">
        <v>815</v>
      </c>
      <c r="E35" s="326">
        <f>IF(B35&lt;1,B35*50000,(B35-1)*100000+50000)</f>
        <v>0</v>
      </c>
      <c r="F35" s="326"/>
      <c r="G35" s="327"/>
      <c r="H35" s="87"/>
      <c r="I35" s="87"/>
      <c r="J35" s="380"/>
      <c r="K35" s="227"/>
      <c r="L35" s="368"/>
      <c r="M35" s="369"/>
      <c r="N35" s="369"/>
      <c r="O35" s="370"/>
      <c r="P35" s="6"/>
      <c r="Q35" s="6"/>
      <c r="R35" s="212" t="s">
        <v>934</v>
      </c>
      <c r="S35" s="214"/>
      <c r="T35" s="223"/>
      <c r="U35" s="214"/>
      <c r="V35" s="214"/>
      <c r="W35" s="223"/>
      <c r="X35" s="214"/>
      <c r="Y35" s="214"/>
      <c r="Z35" s="223"/>
      <c r="AA35" s="214"/>
      <c r="AB35" s="214"/>
      <c r="AC35" s="223"/>
      <c r="AD35" s="214"/>
      <c r="AE35" s="214"/>
      <c r="AF35" s="214"/>
      <c r="AG35" s="214"/>
      <c r="AH35" s="214"/>
      <c r="AI35" s="214"/>
      <c r="AJ35" s="214"/>
      <c r="AK35" s="214"/>
      <c r="AL35" s="214"/>
      <c r="AM35" s="214"/>
      <c r="AN35" s="215"/>
      <c r="AO35" s="6"/>
      <c r="AP35" s="221">
        <v>27</v>
      </c>
      <c r="AQ35" s="168" t="str">
        <f t="shared" si="20"/>
        <v/>
      </c>
      <c r="AR35" s="171" t="b">
        <f t="shared" si="25"/>
        <v>0</v>
      </c>
    </row>
    <row r="36" spans="1:44" ht="15.75" thickBot="1" x14ac:dyDescent="0.3">
      <c r="B36" s="288">
        <v>0</v>
      </c>
      <c r="C36" s="289" t="str">
        <f>AH12</f>
        <v/>
      </c>
      <c r="D36" s="290">
        <v>100000</v>
      </c>
      <c r="E36" s="383">
        <f>B36*D36</f>
        <v>0</v>
      </c>
      <c r="F36" s="383"/>
      <c r="G36" s="384"/>
      <c r="H36" s="87"/>
      <c r="J36" s="380"/>
      <c r="K36" s="6"/>
      <c r="L36" s="368"/>
      <c r="M36" s="369"/>
      <c r="N36" s="369"/>
      <c r="O36" s="370"/>
      <c r="P36" s="6"/>
      <c r="Q36" s="6"/>
      <c r="R36" s="178" t="s">
        <v>931</v>
      </c>
      <c r="S36" s="180" t="s">
        <v>28</v>
      </c>
      <c r="T36" s="188" t="s">
        <v>7</v>
      </c>
      <c r="U36" s="180" t="s">
        <v>118</v>
      </c>
      <c r="V36" s="180" t="s">
        <v>295</v>
      </c>
      <c r="W36" s="188" t="s">
        <v>299</v>
      </c>
      <c r="X36" s="180" t="s">
        <v>304</v>
      </c>
      <c r="Y36" s="180" t="s">
        <v>296</v>
      </c>
      <c r="Z36" s="188" t="s">
        <v>308</v>
      </c>
      <c r="AA36" s="180" t="s">
        <v>309</v>
      </c>
      <c r="AB36" s="180" t="s">
        <v>29</v>
      </c>
      <c r="AC36" s="188" t="s">
        <v>303</v>
      </c>
      <c r="AD36" s="180" t="s">
        <v>302</v>
      </c>
      <c r="AE36" s="180" t="s">
        <v>294</v>
      </c>
      <c r="AF36" s="188" t="s">
        <v>300</v>
      </c>
      <c r="AG36" s="180" t="s">
        <v>297</v>
      </c>
      <c r="AH36" s="180" t="s">
        <v>293</v>
      </c>
      <c r="AI36" s="180" t="s">
        <v>298</v>
      </c>
      <c r="AJ36" s="188" t="s">
        <v>310</v>
      </c>
      <c r="AK36" s="180" t="s">
        <v>301</v>
      </c>
      <c r="AL36" s="180" t="s">
        <v>32</v>
      </c>
      <c r="AM36" s="180" t="s">
        <v>670</v>
      </c>
      <c r="AN36" s="181" t="s">
        <v>31</v>
      </c>
      <c r="AO36" s="6"/>
      <c r="AP36" s="221">
        <v>28</v>
      </c>
      <c r="AQ36" s="168" t="str">
        <f t="shared" si="20"/>
        <v/>
      </c>
      <c r="AR36" s="171" t="b">
        <f t="shared" si="25"/>
        <v>0</v>
      </c>
    </row>
    <row r="37" spans="1:44" ht="15.75" thickBot="1" x14ac:dyDescent="0.3">
      <c r="B37" s="374" t="s">
        <v>804</v>
      </c>
      <c r="C37" s="375"/>
      <c r="D37" s="376"/>
      <c r="E37" s="377">
        <f>SUM(K8:K25)+SUM(E28:G36)</f>
        <v>0</v>
      </c>
      <c r="F37" s="377"/>
      <c r="G37" s="378"/>
      <c r="H37" s="87"/>
      <c r="I37" s="87"/>
      <c r="J37" s="382"/>
      <c r="K37" s="6"/>
      <c r="L37" s="371"/>
      <c r="M37" s="372"/>
      <c r="N37" s="372"/>
      <c r="O37" s="373"/>
      <c r="P37" s="6"/>
      <c r="Q37" s="6"/>
      <c r="R37" s="178" t="str">
        <f>CONCATENATE(ADDRESS(ROW()+1,COLUMN()),":",ADDRESS(ROW()+15,COLUMN()))</f>
        <v>$R$38:$R$52</v>
      </c>
      <c r="S37" s="180" t="str">
        <f>CONCATENATE(ADDRESS(ROW()+1,COLUMN()),":",ADDRESS(ROW()+40,COLUMN()))</f>
        <v>$S$38:$S$77</v>
      </c>
      <c r="T37" s="180" t="str">
        <f t="shared" ref="T37:AN37" si="26">CONCATENATE(ADDRESS(ROW()+1,COLUMN()),":",ADDRESS(ROW()+40,COLUMN()))</f>
        <v>$T$38:$T$77</v>
      </c>
      <c r="U37" s="180" t="str">
        <f t="shared" si="26"/>
        <v>$U$38:$U$77</v>
      </c>
      <c r="V37" s="180" t="str">
        <f t="shared" si="26"/>
        <v>$V$38:$V$77</v>
      </c>
      <c r="W37" s="180" t="str">
        <f t="shared" si="26"/>
        <v>$W$38:$W$77</v>
      </c>
      <c r="X37" s="180" t="str">
        <f t="shared" si="26"/>
        <v>$X$38:$X$77</v>
      </c>
      <c r="Y37" s="180" t="str">
        <f t="shared" si="26"/>
        <v>$Y$38:$Y$77</v>
      </c>
      <c r="Z37" s="180" t="str">
        <f t="shared" si="26"/>
        <v>$Z$38:$Z$77</v>
      </c>
      <c r="AA37" s="180" t="str">
        <f t="shared" si="26"/>
        <v>$AA$38:$AA$77</v>
      </c>
      <c r="AB37" s="180" t="str">
        <f t="shared" si="26"/>
        <v>$AB$38:$AB$77</v>
      </c>
      <c r="AC37" s="180" t="str">
        <f t="shared" si="26"/>
        <v>$AC$38:$AC$77</v>
      </c>
      <c r="AD37" s="180" t="str">
        <f t="shared" si="26"/>
        <v>$AD$38:$AD$77</v>
      </c>
      <c r="AE37" s="180" t="str">
        <f t="shared" si="26"/>
        <v>$AE$38:$AE$77</v>
      </c>
      <c r="AF37" s="180" t="str">
        <f t="shared" si="26"/>
        <v>$AF$38:$AF$77</v>
      </c>
      <c r="AG37" s="180" t="str">
        <f t="shared" si="26"/>
        <v>$AG$38:$AG$77</v>
      </c>
      <c r="AH37" s="180" t="str">
        <f t="shared" si="26"/>
        <v>$AH$38:$AH$77</v>
      </c>
      <c r="AI37" s="180" t="str">
        <f t="shared" si="26"/>
        <v>$AI$38:$AI$77</v>
      </c>
      <c r="AJ37" s="180" t="str">
        <f t="shared" si="26"/>
        <v>$AJ$38:$AJ$77</v>
      </c>
      <c r="AK37" s="180" t="str">
        <f t="shared" si="26"/>
        <v>$AK$38:$AK$77</v>
      </c>
      <c r="AL37" s="180" t="str">
        <f t="shared" si="26"/>
        <v>$AL$38:$AL$77</v>
      </c>
      <c r="AM37" s="180" t="str">
        <f t="shared" si="26"/>
        <v>$AM$38:$AM$77</v>
      </c>
      <c r="AN37" s="181" t="str">
        <f t="shared" si="26"/>
        <v>$AN$38:$AN$77</v>
      </c>
      <c r="AO37" s="6"/>
      <c r="AP37" s="221">
        <v>29</v>
      </c>
      <c r="AQ37" s="168" t="str">
        <f t="shared" si="20"/>
        <v/>
      </c>
      <c r="AR37" s="171" t="b">
        <f t="shared" si="25"/>
        <v>0</v>
      </c>
    </row>
    <row r="38" spans="1:44" ht="30" customHeight="1" x14ac:dyDescent="0.25">
      <c r="B38" s="22"/>
      <c r="C38" s="6"/>
      <c r="D38" s="6"/>
      <c r="E38" s="87"/>
      <c r="F38" s="87"/>
      <c r="G38" s="87"/>
      <c r="H38" s="87"/>
      <c r="I38" s="87"/>
      <c r="J38" s="6"/>
      <c r="K38" s="6"/>
      <c r="L38" s="227"/>
      <c r="M38" s="6"/>
      <c r="N38" s="6"/>
      <c r="O38" s="6"/>
      <c r="P38" s="6"/>
      <c r="Q38" s="6"/>
      <c r="R38" s="178"/>
      <c r="S38" s="180"/>
      <c r="T38" s="180"/>
      <c r="U38" s="180"/>
      <c r="V38" s="180"/>
      <c r="W38" s="180"/>
      <c r="X38" s="180"/>
      <c r="Y38" s="180"/>
      <c r="Z38" s="180"/>
      <c r="AA38" s="180"/>
      <c r="AB38" s="180"/>
      <c r="AC38" s="180"/>
      <c r="AD38" s="180"/>
      <c r="AE38" s="180"/>
      <c r="AF38" s="180"/>
      <c r="AG38" s="180"/>
      <c r="AH38" s="180"/>
      <c r="AI38" s="180"/>
      <c r="AJ38" s="180"/>
      <c r="AK38" s="180"/>
      <c r="AL38" s="180"/>
      <c r="AM38" s="180"/>
      <c r="AN38" s="181"/>
      <c r="AO38" s="6"/>
      <c r="AP38" s="222">
        <v>30</v>
      </c>
      <c r="AQ38" s="173" t="str">
        <f t="shared" si="20"/>
        <v/>
      </c>
      <c r="AR38" s="174" t="b">
        <f t="shared" si="25"/>
        <v>0</v>
      </c>
    </row>
    <row r="39" spans="1:44" ht="60" customHeight="1" x14ac:dyDescent="0.25">
      <c r="A39"/>
      <c r="B39" s="358" t="str">
        <f>IF(D4&lt;&gt;"",D4 &amp; IF(D5&lt;&gt;""," (" &amp; D5 &amp; ")",""),"") &amp; IF(D3&lt;&gt;""," - " &amp; D3,"") &amp; IF(AND(D2&lt;&gt;"",D2&lt;&gt;"Select Team")," [" &amp; D2 &amp; "]","")</f>
        <v/>
      </c>
      <c r="C39" s="358"/>
      <c r="D39" s="358"/>
      <c r="E39" s="358"/>
      <c r="F39" s="358"/>
      <c r="G39" s="358"/>
      <c r="H39" s="358"/>
      <c r="I39" s="358"/>
      <c r="J39" s="358"/>
      <c r="K39" s="358"/>
      <c r="L39" s="358"/>
      <c r="M39" s="358"/>
      <c r="N39" s="358"/>
      <c r="O39" s="358"/>
      <c r="P39" s="6"/>
      <c r="Q39"/>
      <c r="R39" s="207" t="s">
        <v>807</v>
      </c>
      <c r="S39" s="224" t="s">
        <v>33</v>
      </c>
      <c r="T39" s="224" t="s">
        <v>33</v>
      </c>
      <c r="U39" s="224" t="s">
        <v>33</v>
      </c>
      <c r="V39" s="224" t="s">
        <v>33</v>
      </c>
      <c r="W39" s="224" t="s">
        <v>33</v>
      </c>
      <c r="X39" s="224" t="s">
        <v>33</v>
      </c>
      <c r="Y39" s="224" t="s">
        <v>33</v>
      </c>
      <c r="Z39" s="224" t="s">
        <v>33</v>
      </c>
      <c r="AA39" s="224" t="s">
        <v>33</v>
      </c>
      <c r="AB39" s="224" t="s">
        <v>45</v>
      </c>
      <c r="AC39" s="224" t="s">
        <v>45</v>
      </c>
      <c r="AD39" s="224" t="s">
        <v>45</v>
      </c>
      <c r="AE39" s="224" t="s">
        <v>45</v>
      </c>
      <c r="AF39" s="224" t="s">
        <v>45</v>
      </c>
      <c r="AG39" s="224" t="s">
        <v>45</v>
      </c>
      <c r="AH39" s="224" t="s">
        <v>45</v>
      </c>
      <c r="AI39" s="224" t="s">
        <v>57</v>
      </c>
      <c r="AJ39" s="224" t="s">
        <v>57</v>
      </c>
      <c r="AK39" s="224" t="s">
        <v>68</v>
      </c>
      <c r="AL39" s="224" t="s">
        <v>80</v>
      </c>
      <c r="AM39" s="224" t="s">
        <v>33</v>
      </c>
      <c r="AN39" s="225" t="s">
        <v>68</v>
      </c>
      <c r="AO39" s="6"/>
      <c r="AP39" s="6"/>
      <c r="AQ39" s="6"/>
      <c r="AR39" s="6"/>
    </row>
    <row r="40" spans="1:44" ht="60" customHeight="1" x14ac:dyDescent="0.25">
      <c r="A40"/>
      <c r="B40" s="359" t="str">
        <f>IF(AND(SquadName&lt;&gt;"",SquadName&lt;&gt;"Enter Squad Name"),"Squad "&amp; SquadName,"")</f>
        <v/>
      </c>
      <c r="C40" s="359"/>
      <c r="D40" s="359"/>
      <c r="E40" s="359"/>
      <c r="F40" s="359"/>
      <c r="G40" s="359"/>
      <c r="H40" s="359"/>
      <c r="I40" s="359"/>
      <c r="J40" s="359"/>
      <c r="K40" s="359"/>
      <c r="L40" s="359"/>
      <c r="M40" s="359"/>
      <c r="N40" s="359"/>
      <c r="O40" s="359"/>
      <c r="Q40"/>
      <c r="R40" s="207" t="s">
        <v>808</v>
      </c>
      <c r="S40" s="224" t="s">
        <v>34</v>
      </c>
      <c r="T40" s="224" t="s">
        <v>34</v>
      </c>
      <c r="U40" s="224" t="s">
        <v>34</v>
      </c>
      <c r="V40" s="224" t="s">
        <v>34</v>
      </c>
      <c r="W40" s="224" t="s">
        <v>34</v>
      </c>
      <c r="X40" s="224" t="s">
        <v>34</v>
      </c>
      <c r="Y40" s="224" t="s">
        <v>34</v>
      </c>
      <c r="Z40" s="224" t="s">
        <v>34</v>
      </c>
      <c r="AA40" s="224" t="s">
        <v>34</v>
      </c>
      <c r="AB40" s="224" t="s">
        <v>46</v>
      </c>
      <c r="AC40" s="224" t="s">
        <v>46</v>
      </c>
      <c r="AD40" s="224" t="s">
        <v>46</v>
      </c>
      <c r="AE40" s="224" t="s">
        <v>46</v>
      </c>
      <c r="AF40" s="224" t="s">
        <v>46</v>
      </c>
      <c r="AG40" s="224" t="s">
        <v>46</v>
      </c>
      <c r="AH40" s="224" t="s">
        <v>46</v>
      </c>
      <c r="AI40" s="224" t="s">
        <v>58</v>
      </c>
      <c r="AJ40" s="224" t="s">
        <v>58</v>
      </c>
      <c r="AK40" s="224" t="s">
        <v>69</v>
      </c>
      <c r="AL40" s="224" t="s">
        <v>81</v>
      </c>
      <c r="AM40" s="224" t="s">
        <v>34</v>
      </c>
      <c r="AN40" s="225" t="s">
        <v>69</v>
      </c>
      <c r="AO40" s="6"/>
      <c r="AP40" s="6"/>
      <c r="AQ40" s="6"/>
      <c r="AR40" s="6"/>
    </row>
    <row r="41" spans="1:44" ht="14.25" customHeight="1" x14ac:dyDescent="0.25">
      <c r="B41" s="22"/>
      <c r="C41" s="247"/>
      <c r="D41" s="247"/>
      <c r="E41" s="247"/>
      <c r="F41" s="247"/>
      <c r="G41" s="247"/>
      <c r="H41" s="247"/>
      <c r="I41" s="247"/>
      <c r="J41" s="247"/>
      <c r="K41" s="247"/>
      <c r="L41" s="247"/>
      <c r="M41" s="247"/>
      <c r="N41" s="247"/>
      <c r="O41" s="247"/>
      <c r="P41" s="6"/>
      <c r="Q41"/>
      <c r="R41" s="207" t="s">
        <v>809</v>
      </c>
      <c r="S41" s="224" t="s">
        <v>35</v>
      </c>
      <c r="T41" s="224" t="s">
        <v>35</v>
      </c>
      <c r="U41" s="224" t="s">
        <v>35</v>
      </c>
      <c r="V41" s="224" t="s">
        <v>35</v>
      </c>
      <c r="W41" s="224" t="s">
        <v>35</v>
      </c>
      <c r="X41" s="224" t="s">
        <v>35</v>
      </c>
      <c r="Y41" s="224" t="s">
        <v>35</v>
      </c>
      <c r="Z41" s="224" t="s">
        <v>35</v>
      </c>
      <c r="AA41" s="224" t="s">
        <v>35</v>
      </c>
      <c r="AB41" s="224" t="s">
        <v>47</v>
      </c>
      <c r="AC41" s="224" t="s">
        <v>47</v>
      </c>
      <c r="AD41" s="224" t="s">
        <v>47</v>
      </c>
      <c r="AE41" s="224" t="s">
        <v>47</v>
      </c>
      <c r="AF41" s="224" t="s">
        <v>47</v>
      </c>
      <c r="AG41" s="224" t="s">
        <v>47</v>
      </c>
      <c r="AH41" s="224" t="s">
        <v>47</v>
      </c>
      <c r="AI41" s="224" t="s">
        <v>59</v>
      </c>
      <c r="AJ41" s="224" t="s">
        <v>59</v>
      </c>
      <c r="AK41" s="224" t="s">
        <v>70</v>
      </c>
      <c r="AL41" s="224" t="s">
        <v>82</v>
      </c>
      <c r="AM41" s="224" t="s">
        <v>35</v>
      </c>
      <c r="AN41" s="225" t="s">
        <v>70</v>
      </c>
      <c r="AO41" s="6"/>
      <c r="AP41" s="6"/>
      <c r="AQ41" s="6"/>
      <c r="AR41" s="6"/>
    </row>
    <row r="42" spans="1:44" ht="15" hidden="1" customHeight="1" x14ac:dyDescent="0.25">
      <c r="A42"/>
      <c r="B42" s="246"/>
      <c r="C42" s="246"/>
      <c r="D42" s="246"/>
      <c r="E42" s="246"/>
      <c r="F42" s="246"/>
      <c r="G42" s="246"/>
      <c r="H42" s="246"/>
      <c r="I42" s="246"/>
      <c r="J42" s="246"/>
      <c r="K42" s="246"/>
      <c r="L42" s="246"/>
      <c r="M42" s="246"/>
      <c r="N42" s="246"/>
      <c r="O42" s="246"/>
      <c r="Q42"/>
      <c r="R42" s="207" t="s">
        <v>810</v>
      </c>
      <c r="S42" s="224" t="s">
        <v>36</v>
      </c>
      <c r="T42" s="224" t="s">
        <v>36</v>
      </c>
      <c r="U42" s="224" t="s">
        <v>36</v>
      </c>
      <c r="V42" s="224" t="s">
        <v>36</v>
      </c>
      <c r="W42" s="224" t="s">
        <v>36</v>
      </c>
      <c r="X42" s="224" t="s">
        <v>36</v>
      </c>
      <c r="Y42" s="224" t="s">
        <v>36</v>
      </c>
      <c r="Z42" s="224" t="s">
        <v>36</v>
      </c>
      <c r="AA42" s="224" t="s">
        <v>36</v>
      </c>
      <c r="AB42" s="224" t="s">
        <v>48</v>
      </c>
      <c r="AC42" s="224" t="s">
        <v>48</v>
      </c>
      <c r="AD42" s="224" t="s">
        <v>48</v>
      </c>
      <c r="AE42" s="224" t="s">
        <v>48</v>
      </c>
      <c r="AF42" s="224" t="s">
        <v>48</v>
      </c>
      <c r="AG42" s="224" t="s">
        <v>48</v>
      </c>
      <c r="AH42" s="224" t="s">
        <v>48</v>
      </c>
      <c r="AI42" s="224" t="s">
        <v>60</v>
      </c>
      <c r="AJ42" s="224" t="s">
        <v>60</v>
      </c>
      <c r="AK42" s="224" t="s">
        <v>71</v>
      </c>
      <c r="AL42" s="224" t="s">
        <v>83</v>
      </c>
      <c r="AM42" s="224" t="s">
        <v>36</v>
      </c>
      <c r="AN42" s="225" t="s">
        <v>71</v>
      </c>
      <c r="AO42" s="6"/>
      <c r="AP42" s="6"/>
      <c r="AQ42" s="6"/>
      <c r="AR42" s="6"/>
    </row>
    <row r="43" spans="1:44" hidden="1" x14ac:dyDescent="0.25">
      <c r="A43"/>
      <c r="B43"/>
      <c r="E43"/>
      <c r="F43"/>
      <c r="G43"/>
      <c r="H43"/>
      <c r="I43"/>
      <c r="L43" s="6"/>
      <c r="Q43"/>
      <c r="R43" s="207"/>
      <c r="S43" s="224" t="s">
        <v>37</v>
      </c>
      <c r="T43" s="224" t="s">
        <v>37</v>
      </c>
      <c r="U43" s="224" t="s">
        <v>37</v>
      </c>
      <c r="V43" s="224" t="s">
        <v>37</v>
      </c>
      <c r="W43" s="224" t="s">
        <v>37</v>
      </c>
      <c r="X43" s="224" t="s">
        <v>37</v>
      </c>
      <c r="Y43" s="224" t="s">
        <v>37</v>
      </c>
      <c r="Z43" s="224" t="s">
        <v>37</v>
      </c>
      <c r="AA43" s="224" t="s">
        <v>37</v>
      </c>
      <c r="AB43" s="224" t="s">
        <v>49</v>
      </c>
      <c r="AC43" s="224" t="s">
        <v>49</v>
      </c>
      <c r="AD43" s="224" t="s">
        <v>49</v>
      </c>
      <c r="AE43" s="224" t="s">
        <v>49</v>
      </c>
      <c r="AF43" s="224" t="s">
        <v>49</v>
      </c>
      <c r="AG43" s="224" t="s">
        <v>49</v>
      </c>
      <c r="AH43" s="224" t="s">
        <v>49</v>
      </c>
      <c r="AI43" s="224" t="s">
        <v>61</v>
      </c>
      <c r="AJ43" s="224" t="s">
        <v>61</v>
      </c>
      <c r="AK43" s="224" t="s">
        <v>72</v>
      </c>
      <c r="AL43" s="224" t="s">
        <v>84</v>
      </c>
      <c r="AM43" s="224" t="s">
        <v>37</v>
      </c>
      <c r="AN43" s="225" t="s">
        <v>72</v>
      </c>
      <c r="AO43" s="6"/>
      <c r="AP43" s="6"/>
      <c r="AQ43" s="6"/>
      <c r="AR43" s="6"/>
    </row>
    <row r="44" spans="1:44" hidden="1" x14ac:dyDescent="0.25">
      <c r="A44"/>
      <c r="B44"/>
      <c r="E44"/>
      <c r="F44"/>
      <c r="G44"/>
      <c r="H44"/>
      <c r="I44"/>
      <c r="Q44"/>
      <c r="R44" s="207"/>
      <c r="S44" s="224" t="s">
        <v>38</v>
      </c>
      <c r="T44" s="224" t="s">
        <v>38</v>
      </c>
      <c r="U44" s="224" t="s">
        <v>38</v>
      </c>
      <c r="V44" s="224" t="s">
        <v>38</v>
      </c>
      <c r="W44" s="224" t="s">
        <v>38</v>
      </c>
      <c r="X44" s="224" t="s">
        <v>38</v>
      </c>
      <c r="Y44" s="224" t="s">
        <v>38</v>
      </c>
      <c r="Z44" s="224" t="s">
        <v>38</v>
      </c>
      <c r="AA44" s="224" t="s">
        <v>38</v>
      </c>
      <c r="AB44" s="224" t="s">
        <v>50</v>
      </c>
      <c r="AC44" s="224" t="s">
        <v>50</v>
      </c>
      <c r="AD44" s="224" t="s">
        <v>50</v>
      </c>
      <c r="AE44" s="224" t="s">
        <v>50</v>
      </c>
      <c r="AF44" s="224" t="s">
        <v>50</v>
      </c>
      <c r="AG44" s="224" t="s">
        <v>50</v>
      </c>
      <c r="AH44" s="224" t="s">
        <v>50</v>
      </c>
      <c r="AI44" s="224" t="s">
        <v>62</v>
      </c>
      <c r="AJ44" s="224" t="s">
        <v>62</v>
      </c>
      <c r="AK44" s="224" t="s">
        <v>73</v>
      </c>
      <c r="AL44" s="224" t="s">
        <v>85</v>
      </c>
      <c r="AM44" s="224" t="s">
        <v>38</v>
      </c>
      <c r="AN44" s="225" t="s">
        <v>73</v>
      </c>
      <c r="AO44" s="6"/>
      <c r="AP44" s="6"/>
      <c r="AQ44" s="6"/>
      <c r="AR44" s="6"/>
    </row>
    <row r="45" spans="1:44" hidden="1" x14ac:dyDescent="0.25">
      <c r="A45"/>
      <c r="B45"/>
      <c r="E45"/>
      <c r="F45"/>
      <c r="G45"/>
      <c r="H45"/>
      <c r="I45"/>
      <c r="Q45"/>
      <c r="R45" s="207"/>
      <c r="S45" s="224" t="s">
        <v>39</v>
      </c>
      <c r="T45" s="224" t="s">
        <v>39</v>
      </c>
      <c r="U45" s="224" t="s">
        <v>39</v>
      </c>
      <c r="V45" s="224" t="s">
        <v>39</v>
      </c>
      <c r="W45" s="224" t="s">
        <v>39</v>
      </c>
      <c r="X45" s="224" t="s">
        <v>39</v>
      </c>
      <c r="Y45" s="224" t="s">
        <v>39</v>
      </c>
      <c r="Z45" s="224" t="s">
        <v>39</v>
      </c>
      <c r="AA45" s="224" t="s">
        <v>39</v>
      </c>
      <c r="AB45" s="224" t="s">
        <v>51</v>
      </c>
      <c r="AC45" s="224" t="s">
        <v>51</v>
      </c>
      <c r="AD45" s="224" t="s">
        <v>51</v>
      </c>
      <c r="AE45" s="224" t="s">
        <v>51</v>
      </c>
      <c r="AF45" s="224" t="s">
        <v>51</v>
      </c>
      <c r="AG45" s="224" t="s">
        <v>51</v>
      </c>
      <c r="AH45" s="224" t="s">
        <v>51</v>
      </c>
      <c r="AI45" s="224" t="s">
        <v>63</v>
      </c>
      <c r="AJ45" s="224" t="s">
        <v>63</v>
      </c>
      <c r="AK45" s="224" t="s">
        <v>74</v>
      </c>
      <c r="AL45" s="224" t="s">
        <v>86</v>
      </c>
      <c r="AM45" s="224" t="s">
        <v>39</v>
      </c>
      <c r="AN45" s="225" t="s">
        <v>74</v>
      </c>
      <c r="AO45" s="6"/>
      <c r="AP45" s="6"/>
      <c r="AQ45" s="6"/>
      <c r="AR45" s="6"/>
    </row>
    <row r="46" spans="1:44" hidden="1" x14ac:dyDescent="0.25">
      <c r="A46"/>
      <c r="B46"/>
      <c r="E46"/>
      <c r="F46"/>
      <c r="G46"/>
      <c r="H46"/>
      <c r="I46"/>
      <c r="Q46"/>
      <c r="R46" s="207"/>
      <c r="S46" s="224" t="s">
        <v>40</v>
      </c>
      <c r="T46" s="224" t="s">
        <v>40</v>
      </c>
      <c r="U46" s="224" t="s">
        <v>40</v>
      </c>
      <c r="V46" s="224" t="s">
        <v>40</v>
      </c>
      <c r="W46" s="224" t="s">
        <v>40</v>
      </c>
      <c r="X46" s="224" t="s">
        <v>40</v>
      </c>
      <c r="Y46" s="224" t="s">
        <v>40</v>
      </c>
      <c r="Z46" s="224" t="s">
        <v>40</v>
      </c>
      <c r="AA46" s="224" t="s">
        <v>40</v>
      </c>
      <c r="AB46" s="224" t="s">
        <v>52</v>
      </c>
      <c r="AC46" s="224" t="s">
        <v>52</v>
      </c>
      <c r="AD46" s="224" t="s">
        <v>52</v>
      </c>
      <c r="AE46" s="224" t="s">
        <v>52</v>
      </c>
      <c r="AF46" s="224" t="s">
        <v>52</v>
      </c>
      <c r="AG46" s="224" t="s">
        <v>52</v>
      </c>
      <c r="AH46" s="224" t="s">
        <v>52</v>
      </c>
      <c r="AI46" s="224" t="s">
        <v>635</v>
      </c>
      <c r="AJ46" s="224" t="s">
        <v>635</v>
      </c>
      <c r="AK46" s="224" t="s">
        <v>75</v>
      </c>
      <c r="AL46" s="224" t="s">
        <v>87</v>
      </c>
      <c r="AM46" s="224" t="s">
        <v>40</v>
      </c>
      <c r="AN46" s="225" t="s">
        <v>75</v>
      </c>
      <c r="AO46" s="6"/>
      <c r="AP46" s="6"/>
      <c r="AQ46" s="6"/>
      <c r="AR46" s="6"/>
    </row>
    <row r="47" spans="1:44" hidden="1" x14ac:dyDescent="0.25">
      <c r="A47"/>
      <c r="B47"/>
      <c r="E47"/>
      <c r="F47"/>
      <c r="G47"/>
      <c r="H47"/>
      <c r="I47"/>
      <c r="Q47"/>
      <c r="R47" s="207"/>
      <c r="S47" s="224" t="s">
        <v>41</v>
      </c>
      <c r="T47" s="224" t="s">
        <v>41</v>
      </c>
      <c r="U47" s="224" t="s">
        <v>41</v>
      </c>
      <c r="V47" s="224" t="s">
        <v>41</v>
      </c>
      <c r="W47" s="224" t="s">
        <v>41</v>
      </c>
      <c r="X47" s="224" t="s">
        <v>41</v>
      </c>
      <c r="Y47" s="224" t="s">
        <v>41</v>
      </c>
      <c r="Z47" s="224" t="s">
        <v>41</v>
      </c>
      <c r="AA47" s="224" t="s">
        <v>41</v>
      </c>
      <c r="AB47" s="224" t="s">
        <v>53</v>
      </c>
      <c r="AC47" s="224" t="s">
        <v>53</v>
      </c>
      <c r="AD47" s="224" t="s">
        <v>53</v>
      </c>
      <c r="AE47" s="224" t="s">
        <v>53</v>
      </c>
      <c r="AF47" s="224" t="s">
        <v>53</v>
      </c>
      <c r="AG47" s="224" t="s">
        <v>53</v>
      </c>
      <c r="AH47" s="224" t="s">
        <v>53</v>
      </c>
      <c r="AI47" s="224" t="s">
        <v>65</v>
      </c>
      <c r="AJ47" s="224" t="s">
        <v>65</v>
      </c>
      <c r="AK47" s="224" t="s">
        <v>76</v>
      </c>
      <c r="AL47" s="224" t="s">
        <v>88</v>
      </c>
      <c r="AM47" s="224" t="s">
        <v>41</v>
      </c>
      <c r="AN47" s="225" t="s">
        <v>76</v>
      </c>
      <c r="AO47" s="6"/>
      <c r="AP47" s="6"/>
      <c r="AQ47" s="6"/>
      <c r="AR47" s="6"/>
    </row>
    <row r="48" spans="1:44" hidden="1" x14ac:dyDescent="0.25">
      <c r="A48"/>
      <c r="B48"/>
      <c r="E48"/>
      <c r="F48"/>
      <c r="G48"/>
      <c r="H48"/>
      <c r="I48"/>
      <c r="Q48"/>
      <c r="R48" s="207"/>
      <c r="S48" s="224" t="s">
        <v>42</v>
      </c>
      <c r="T48" s="224" t="s">
        <v>42</v>
      </c>
      <c r="U48" s="224" t="s">
        <v>42</v>
      </c>
      <c r="V48" s="224" t="s">
        <v>42</v>
      </c>
      <c r="W48" s="224" t="s">
        <v>42</v>
      </c>
      <c r="X48" s="224" t="s">
        <v>42</v>
      </c>
      <c r="Y48" s="224" t="s">
        <v>42</v>
      </c>
      <c r="Z48" s="224" t="s">
        <v>42</v>
      </c>
      <c r="AA48" s="224" t="s">
        <v>42</v>
      </c>
      <c r="AB48" s="224" t="s">
        <v>54</v>
      </c>
      <c r="AC48" s="224" t="s">
        <v>54</v>
      </c>
      <c r="AD48" s="224" t="s">
        <v>54</v>
      </c>
      <c r="AE48" s="224" t="s">
        <v>54</v>
      </c>
      <c r="AF48" s="224" t="s">
        <v>54</v>
      </c>
      <c r="AG48" s="224" t="s">
        <v>54</v>
      </c>
      <c r="AH48" s="224" t="s">
        <v>54</v>
      </c>
      <c r="AI48" s="224" t="s">
        <v>66</v>
      </c>
      <c r="AJ48" s="224" t="s">
        <v>66</v>
      </c>
      <c r="AK48" s="224" t="s">
        <v>77</v>
      </c>
      <c r="AL48" s="224" t="s">
        <v>89</v>
      </c>
      <c r="AM48" s="224" t="s">
        <v>42</v>
      </c>
      <c r="AN48" s="225" t="s">
        <v>77</v>
      </c>
      <c r="AO48" s="6"/>
      <c r="AP48" s="6"/>
      <c r="AQ48" s="6"/>
      <c r="AR48" s="6"/>
    </row>
    <row r="49" spans="1:44" hidden="1" x14ac:dyDescent="0.25">
      <c r="A49"/>
      <c r="B49"/>
      <c r="E49"/>
      <c r="F49"/>
      <c r="G49"/>
      <c r="H49"/>
      <c r="I49"/>
      <c r="Q49"/>
      <c r="R49" s="207"/>
      <c r="S49" s="224" t="s">
        <v>43</v>
      </c>
      <c r="T49" s="224" t="s">
        <v>43</v>
      </c>
      <c r="U49" s="224" t="s">
        <v>43</v>
      </c>
      <c r="V49" s="224" t="s">
        <v>43</v>
      </c>
      <c r="W49" s="224" t="s">
        <v>43</v>
      </c>
      <c r="X49" s="224" t="s">
        <v>43</v>
      </c>
      <c r="Y49" s="224" t="s">
        <v>43</v>
      </c>
      <c r="Z49" s="224" t="s">
        <v>43</v>
      </c>
      <c r="AA49" s="224" t="s">
        <v>43</v>
      </c>
      <c r="AB49" s="224" t="s">
        <v>55</v>
      </c>
      <c r="AC49" s="224" t="s">
        <v>55</v>
      </c>
      <c r="AD49" s="224" t="s">
        <v>55</v>
      </c>
      <c r="AE49" s="224" t="s">
        <v>55</v>
      </c>
      <c r="AF49" s="224" t="s">
        <v>55</v>
      </c>
      <c r="AG49" s="224" t="s">
        <v>55</v>
      </c>
      <c r="AH49" s="224" t="s">
        <v>55</v>
      </c>
      <c r="AI49" s="224" t="s">
        <v>67</v>
      </c>
      <c r="AJ49" s="224" t="s">
        <v>67</v>
      </c>
      <c r="AK49" s="224" t="s">
        <v>78</v>
      </c>
      <c r="AL49" s="224" t="s">
        <v>90</v>
      </c>
      <c r="AM49" s="224" t="s">
        <v>43</v>
      </c>
      <c r="AN49" s="225" t="s">
        <v>78</v>
      </c>
      <c r="AO49" s="6"/>
      <c r="AP49" s="6"/>
      <c r="AQ49" s="6"/>
      <c r="AR49" s="6"/>
    </row>
    <row r="50" spans="1:44" hidden="1" x14ac:dyDescent="0.25">
      <c r="A50"/>
      <c r="B50"/>
      <c r="E50"/>
      <c r="F50"/>
      <c r="G50"/>
      <c r="H50"/>
      <c r="I50"/>
      <c r="Q50"/>
      <c r="R50" s="207"/>
      <c r="S50" s="224" t="s">
        <v>44</v>
      </c>
      <c r="T50" s="224" t="s">
        <v>44</v>
      </c>
      <c r="U50" s="224" t="s">
        <v>44</v>
      </c>
      <c r="V50" s="224" t="s">
        <v>44</v>
      </c>
      <c r="W50" s="224" t="s">
        <v>44</v>
      </c>
      <c r="X50" s="224" t="s">
        <v>44</v>
      </c>
      <c r="Y50" s="224" t="s">
        <v>44</v>
      </c>
      <c r="Z50" s="224" t="s">
        <v>44</v>
      </c>
      <c r="AA50" s="224" t="s">
        <v>44</v>
      </c>
      <c r="AB50" s="224" t="s">
        <v>56</v>
      </c>
      <c r="AC50" s="224" t="s">
        <v>56</v>
      </c>
      <c r="AD50" s="224" t="s">
        <v>56</v>
      </c>
      <c r="AE50" s="224" t="s">
        <v>56</v>
      </c>
      <c r="AF50" s="224" t="s">
        <v>56</v>
      </c>
      <c r="AG50" s="224" t="s">
        <v>56</v>
      </c>
      <c r="AH50" s="224" t="s">
        <v>56</v>
      </c>
      <c r="AI50" s="224" t="s">
        <v>314</v>
      </c>
      <c r="AJ50" s="224" t="s">
        <v>314</v>
      </c>
      <c r="AK50" s="224" t="s">
        <v>79</v>
      </c>
      <c r="AL50" s="224" t="s">
        <v>91</v>
      </c>
      <c r="AM50" s="224" t="s">
        <v>44</v>
      </c>
      <c r="AN50" s="225" t="s">
        <v>79</v>
      </c>
      <c r="AO50" s="6"/>
      <c r="AP50" s="6"/>
      <c r="AQ50" s="6"/>
      <c r="AR50" s="6"/>
    </row>
    <row r="51" spans="1:44" hidden="1" x14ac:dyDescent="0.25">
      <c r="A51"/>
      <c r="B51"/>
      <c r="E51"/>
      <c r="F51"/>
      <c r="G51"/>
      <c r="H51"/>
      <c r="I51"/>
      <c r="Q51"/>
      <c r="R51" s="207"/>
      <c r="S51" s="180"/>
      <c r="T51" s="224" t="s">
        <v>316</v>
      </c>
      <c r="U51" s="224" t="s">
        <v>317</v>
      </c>
      <c r="V51" s="224" t="s">
        <v>318</v>
      </c>
      <c r="W51" s="224" t="s">
        <v>319</v>
      </c>
      <c r="X51" s="224" t="s">
        <v>316</v>
      </c>
      <c r="Y51" s="224" t="s">
        <v>316</v>
      </c>
      <c r="Z51" s="224" t="s">
        <v>317</v>
      </c>
      <c r="AA51" s="224" t="s">
        <v>317</v>
      </c>
      <c r="AB51" s="224"/>
      <c r="AC51" s="224" t="s">
        <v>317</v>
      </c>
      <c r="AD51" s="224" t="s">
        <v>318</v>
      </c>
      <c r="AE51" s="224" t="s">
        <v>319</v>
      </c>
      <c r="AF51" s="224" t="s">
        <v>317</v>
      </c>
      <c r="AG51" s="224" t="s">
        <v>317</v>
      </c>
      <c r="AH51" s="224" t="s">
        <v>318</v>
      </c>
      <c r="AI51" s="224" t="s">
        <v>319</v>
      </c>
      <c r="AJ51" s="224" t="s">
        <v>318</v>
      </c>
      <c r="AK51" s="224" t="s">
        <v>319</v>
      </c>
      <c r="AL51" s="180"/>
      <c r="AM51" s="224" t="s">
        <v>316</v>
      </c>
      <c r="AN51" s="181"/>
      <c r="AO51" s="6"/>
      <c r="AP51" s="6"/>
      <c r="AQ51" s="6"/>
      <c r="AR51" s="6"/>
    </row>
    <row r="52" spans="1:44" hidden="1" x14ac:dyDescent="0.25">
      <c r="N52" s="4"/>
      <c r="O52" s="4"/>
      <c r="Q52" s="4"/>
      <c r="R52" s="178"/>
      <c r="S52" s="180"/>
      <c r="T52" s="224" t="s">
        <v>45</v>
      </c>
      <c r="U52" s="224" t="s">
        <v>57</v>
      </c>
      <c r="V52" s="224" t="s">
        <v>68</v>
      </c>
      <c r="W52" s="224" t="s">
        <v>80</v>
      </c>
      <c r="X52" s="224" t="s">
        <v>45</v>
      </c>
      <c r="Y52" s="224" t="s">
        <v>45</v>
      </c>
      <c r="Z52" s="224" t="s">
        <v>57</v>
      </c>
      <c r="AA52" s="224" t="s">
        <v>57</v>
      </c>
      <c r="AB52" s="180"/>
      <c r="AC52" s="224" t="s">
        <v>57</v>
      </c>
      <c r="AD52" s="224" t="s">
        <v>68</v>
      </c>
      <c r="AE52" s="224" t="s">
        <v>80</v>
      </c>
      <c r="AF52" s="224" t="s">
        <v>57</v>
      </c>
      <c r="AG52" s="224" t="s">
        <v>57</v>
      </c>
      <c r="AH52" s="224" t="s">
        <v>68</v>
      </c>
      <c r="AI52" s="224" t="s">
        <v>80</v>
      </c>
      <c r="AJ52" s="224" t="s">
        <v>68</v>
      </c>
      <c r="AK52" s="224" t="s">
        <v>80</v>
      </c>
      <c r="AL52" s="180"/>
      <c r="AM52" s="224" t="s">
        <v>45</v>
      </c>
      <c r="AN52" s="181"/>
      <c r="AO52" s="6"/>
      <c r="AP52" s="6"/>
      <c r="AQ52" s="6"/>
      <c r="AR52" s="6"/>
    </row>
    <row r="53" spans="1:44" hidden="1" x14ac:dyDescent="0.25">
      <c r="N53" s="4"/>
      <c r="O53" s="4"/>
      <c r="Q53" s="4"/>
      <c r="R53" s="178"/>
      <c r="S53" s="180"/>
      <c r="T53" s="224" t="s">
        <v>46</v>
      </c>
      <c r="U53" s="224" t="s">
        <v>58</v>
      </c>
      <c r="V53" s="224" t="s">
        <v>69</v>
      </c>
      <c r="W53" s="224" t="s">
        <v>81</v>
      </c>
      <c r="X53" s="224" t="s">
        <v>46</v>
      </c>
      <c r="Y53" s="224" t="s">
        <v>46</v>
      </c>
      <c r="Z53" s="224" t="s">
        <v>58</v>
      </c>
      <c r="AA53" s="224" t="s">
        <v>58</v>
      </c>
      <c r="AB53" s="180"/>
      <c r="AC53" s="224" t="s">
        <v>58</v>
      </c>
      <c r="AD53" s="224" t="s">
        <v>69</v>
      </c>
      <c r="AE53" s="224" t="s">
        <v>81</v>
      </c>
      <c r="AF53" s="224" t="s">
        <v>58</v>
      </c>
      <c r="AG53" s="224" t="s">
        <v>58</v>
      </c>
      <c r="AH53" s="224" t="s">
        <v>69</v>
      </c>
      <c r="AI53" s="224" t="s">
        <v>81</v>
      </c>
      <c r="AJ53" s="224" t="s">
        <v>69</v>
      </c>
      <c r="AK53" s="224" t="s">
        <v>81</v>
      </c>
      <c r="AL53" s="180"/>
      <c r="AM53" s="224" t="s">
        <v>46</v>
      </c>
      <c r="AN53" s="181"/>
      <c r="AO53" s="6"/>
      <c r="AP53" s="6"/>
      <c r="AQ53" s="6"/>
      <c r="AR53" s="6"/>
    </row>
    <row r="54" spans="1:44" hidden="1" x14ac:dyDescent="0.25">
      <c r="N54" s="4"/>
      <c r="O54" s="4"/>
      <c r="Q54" s="4"/>
      <c r="R54" s="178"/>
      <c r="S54" s="180"/>
      <c r="T54" s="224" t="s">
        <v>47</v>
      </c>
      <c r="U54" s="224" t="s">
        <v>59</v>
      </c>
      <c r="V54" s="224" t="s">
        <v>70</v>
      </c>
      <c r="W54" s="224" t="s">
        <v>82</v>
      </c>
      <c r="X54" s="224" t="s">
        <v>47</v>
      </c>
      <c r="Y54" s="224" t="s">
        <v>47</v>
      </c>
      <c r="Z54" s="224" t="s">
        <v>59</v>
      </c>
      <c r="AA54" s="224" t="s">
        <v>59</v>
      </c>
      <c r="AB54" s="180"/>
      <c r="AC54" s="224" t="s">
        <v>59</v>
      </c>
      <c r="AD54" s="224" t="s">
        <v>70</v>
      </c>
      <c r="AE54" s="224" t="s">
        <v>82</v>
      </c>
      <c r="AF54" s="224" t="s">
        <v>59</v>
      </c>
      <c r="AG54" s="224" t="s">
        <v>59</v>
      </c>
      <c r="AH54" s="224" t="s">
        <v>70</v>
      </c>
      <c r="AI54" s="224" t="s">
        <v>82</v>
      </c>
      <c r="AJ54" s="224" t="s">
        <v>70</v>
      </c>
      <c r="AK54" s="224" t="s">
        <v>82</v>
      </c>
      <c r="AL54" s="180"/>
      <c r="AM54" s="224" t="s">
        <v>47</v>
      </c>
      <c r="AN54" s="181"/>
      <c r="AO54" s="6"/>
      <c r="AP54" s="6"/>
      <c r="AQ54" s="6"/>
      <c r="AR54" s="6"/>
    </row>
    <row r="55" spans="1:44" hidden="1" x14ac:dyDescent="0.25">
      <c r="N55" s="4"/>
      <c r="O55" s="4"/>
      <c r="Q55" s="4"/>
      <c r="R55" s="178"/>
      <c r="S55" s="180"/>
      <c r="T55" s="224" t="s">
        <v>48</v>
      </c>
      <c r="U55" s="224" t="s">
        <v>60</v>
      </c>
      <c r="V55" s="224" t="s">
        <v>71</v>
      </c>
      <c r="W55" s="224" t="s">
        <v>83</v>
      </c>
      <c r="X55" s="224" t="s">
        <v>48</v>
      </c>
      <c r="Y55" s="224" t="s">
        <v>48</v>
      </c>
      <c r="Z55" s="224" t="s">
        <v>60</v>
      </c>
      <c r="AA55" s="224" t="s">
        <v>60</v>
      </c>
      <c r="AB55" s="180"/>
      <c r="AC55" s="224" t="s">
        <v>60</v>
      </c>
      <c r="AD55" s="224" t="s">
        <v>71</v>
      </c>
      <c r="AE55" s="224" t="s">
        <v>83</v>
      </c>
      <c r="AF55" s="224" t="s">
        <v>60</v>
      </c>
      <c r="AG55" s="224" t="s">
        <v>60</v>
      </c>
      <c r="AH55" s="224" t="s">
        <v>71</v>
      </c>
      <c r="AI55" s="224" t="s">
        <v>83</v>
      </c>
      <c r="AJ55" s="224" t="s">
        <v>71</v>
      </c>
      <c r="AK55" s="224" t="s">
        <v>83</v>
      </c>
      <c r="AL55" s="180"/>
      <c r="AM55" s="224" t="s">
        <v>48</v>
      </c>
      <c r="AN55" s="181"/>
      <c r="AO55" s="6"/>
      <c r="AP55" s="6"/>
      <c r="AQ55" s="6"/>
      <c r="AR55" s="6"/>
    </row>
    <row r="56" spans="1:44" hidden="1" x14ac:dyDescent="0.25">
      <c r="N56" s="4"/>
      <c r="O56" s="4"/>
      <c r="Q56" s="4"/>
      <c r="R56" s="178"/>
      <c r="S56" s="180"/>
      <c r="T56" s="224" t="s">
        <v>49</v>
      </c>
      <c r="U56" s="224" t="s">
        <v>61</v>
      </c>
      <c r="V56" s="224" t="s">
        <v>72</v>
      </c>
      <c r="W56" s="224" t="s">
        <v>84</v>
      </c>
      <c r="X56" s="224" t="s">
        <v>49</v>
      </c>
      <c r="Y56" s="224" t="s">
        <v>49</v>
      </c>
      <c r="Z56" s="224" t="s">
        <v>61</v>
      </c>
      <c r="AA56" s="224" t="s">
        <v>61</v>
      </c>
      <c r="AB56" s="180"/>
      <c r="AC56" s="224" t="s">
        <v>61</v>
      </c>
      <c r="AD56" s="224" t="s">
        <v>72</v>
      </c>
      <c r="AE56" s="224" t="s">
        <v>84</v>
      </c>
      <c r="AF56" s="224" t="s">
        <v>61</v>
      </c>
      <c r="AG56" s="224" t="s">
        <v>61</v>
      </c>
      <c r="AH56" s="224" t="s">
        <v>72</v>
      </c>
      <c r="AI56" s="224" t="s">
        <v>84</v>
      </c>
      <c r="AJ56" s="224" t="s">
        <v>72</v>
      </c>
      <c r="AK56" s="224" t="s">
        <v>84</v>
      </c>
      <c r="AL56" s="180"/>
      <c r="AM56" s="224" t="s">
        <v>49</v>
      </c>
      <c r="AN56" s="181"/>
      <c r="AO56" s="6"/>
      <c r="AP56" s="6"/>
      <c r="AQ56" s="6"/>
      <c r="AR56" s="6"/>
    </row>
    <row r="57" spans="1:44" hidden="1" x14ac:dyDescent="0.25">
      <c r="L57" s="4"/>
      <c r="N57" s="4"/>
      <c r="O57" s="4"/>
      <c r="Q57" s="4"/>
      <c r="R57" s="178"/>
      <c r="S57" s="180"/>
      <c r="T57" s="224" t="s">
        <v>50</v>
      </c>
      <c r="U57" s="224" t="s">
        <v>62</v>
      </c>
      <c r="V57" s="224" t="s">
        <v>73</v>
      </c>
      <c r="W57" s="224" t="s">
        <v>85</v>
      </c>
      <c r="X57" s="224" t="s">
        <v>50</v>
      </c>
      <c r="Y57" s="224" t="s">
        <v>50</v>
      </c>
      <c r="Z57" s="224" t="s">
        <v>62</v>
      </c>
      <c r="AA57" s="224" t="s">
        <v>62</v>
      </c>
      <c r="AB57" s="180"/>
      <c r="AC57" s="224" t="s">
        <v>62</v>
      </c>
      <c r="AD57" s="224" t="s">
        <v>73</v>
      </c>
      <c r="AE57" s="224" t="s">
        <v>85</v>
      </c>
      <c r="AF57" s="224" t="s">
        <v>62</v>
      </c>
      <c r="AG57" s="224" t="s">
        <v>62</v>
      </c>
      <c r="AH57" s="224" t="s">
        <v>73</v>
      </c>
      <c r="AI57" s="224" t="s">
        <v>85</v>
      </c>
      <c r="AJ57" s="224" t="s">
        <v>73</v>
      </c>
      <c r="AK57" s="224" t="s">
        <v>85</v>
      </c>
      <c r="AL57" s="180"/>
      <c r="AM57" s="224" t="s">
        <v>50</v>
      </c>
      <c r="AN57" s="181"/>
      <c r="AO57" s="6"/>
      <c r="AP57" s="6"/>
      <c r="AQ57" s="6"/>
      <c r="AR57" s="6"/>
    </row>
    <row r="58" spans="1:44" hidden="1" x14ac:dyDescent="0.25">
      <c r="L58" s="4"/>
      <c r="N58" s="4"/>
      <c r="O58" s="4"/>
      <c r="Q58" s="4"/>
      <c r="R58" s="178"/>
      <c r="S58" s="180"/>
      <c r="T58" s="224" t="s">
        <v>51</v>
      </c>
      <c r="U58" s="224" t="s">
        <v>63</v>
      </c>
      <c r="V58" s="224" t="s">
        <v>74</v>
      </c>
      <c r="W58" s="224" t="s">
        <v>86</v>
      </c>
      <c r="X58" s="224" t="s">
        <v>51</v>
      </c>
      <c r="Y58" s="224" t="s">
        <v>51</v>
      </c>
      <c r="Z58" s="224" t="s">
        <v>63</v>
      </c>
      <c r="AA58" s="224" t="s">
        <v>63</v>
      </c>
      <c r="AB58" s="180"/>
      <c r="AC58" s="224" t="s">
        <v>63</v>
      </c>
      <c r="AD58" s="224" t="s">
        <v>74</v>
      </c>
      <c r="AE58" s="224" t="s">
        <v>86</v>
      </c>
      <c r="AF58" s="224" t="s">
        <v>63</v>
      </c>
      <c r="AG58" s="224" t="s">
        <v>63</v>
      </c>
      <c r="AH58" s="224" t="s">
        <v>74</v>
      </c>
      <c r="AI58" s="224" t="s">
        <v>86</v>
      </c>
      <c r="AJ58" s="224" t="s">
        <v>74</v>
      </c>
      <c r="AK58" s="224" t="s">
        <v>86</v>
      </c>
      <c r="AL58" s="180"/>
      <c r="AM58" s="224" t="s">
        <v>51</v>
      </c>
      <c r="AN58" s="181"/>
      <c r="AO58" s="6"/>
      <c r="AP58" s="6"/>
      <c r="AQ58" s="6"/>
      <c r="AR58" s="6"/>
    </row>
    <row r="59" spans="1:44" hidden="1" x14ac:dyDescent="0.25">
      <c r="L59" s="4"/>
      <c r="N59" s="4"/>
      <c r="O59" s="4"/>
      <c r="Q59" s="4"/>
      <c r="R59" s="178"/>
      <c r="S59" s="180"/>
      <c r="T59" s="224" t="s">
        <v>52</v>
      </c>
      <c r="U59" s="224" t="s">
        <v>635</v>
      </c>
      <c r="V59" s="224" t="s">
        <v>75</v>
      </c>
      <c r="W59" s="224" t="s">
        <v>87</v>
      </c>
      <c r="X59" s="224" t="s">
        <v>52</v>
      </c>
      <c r="Y59" s="224" t="s">
        <v>52</v>
      </c>
      <c r="Z59" s="224" t="s">
        <v>635</v>
      </c>
      <c r="AA59" s="224" t="s">
        <v>635</v>
      </c>
      <c r="AB59" s="180"/>
      <c r="AC59" s="224" t="s">
        <v>635</v>
      </c>
      <c r="AD59" s="224" t="s">
        <v>75</v>
      </c>
      <c r="AE59" s="224" t="s">
        <v>87</v>
      </c>
      <c r="AF59" s="224" t="s">
        <v>635</v>
      </c>
      <c r="AG59" s="224" t="s">
        <v>635</v>
      </c>
      <c r="AH59" s="224" t="s">
        <v>75</v>
      </c>
      <c r="AI59" s="224" t="s">
        <v>87</v>
      </c>
      <c r="AJ59" s="224" t="s">
        <v>75</v>
      </c>
      <c r="AK59" s="224" t="s">
        <v>87</v>
      </c>
      <c r="AL59" s="180"/>
      <c r="AM59" s="224" t="s">
        <v>52</v>
      </c>
      <c r="AN59" s="181"/>
      <c r="AO59" s="6"/>
      <c r="AP59" s="6"/>
      <c r="AQ59" s="6"/>
      <c r="AR59" s="6"/>
    </row>
    <row r="60" spans="1:44" hidden="1" x14ac:dyDescent="0.25">
      <c r="L60" s="4"/>
      <c r="O60" s="1"/>
      <c r="Q60"/>
      <c r="R60" s="178"/>
      <c r="S60" s="180"/>
      <c r="T60" s="224" t="s">
        <v>53</v>
      </c>
      <c r="U60" s="224" t="s">
        <v>65</v>
      </c>
      <c r="V60" s="224" t="s">
        <v>76</v>
      </c>
      <c r="W60" s="224" t="s">
        <v>88</v>
      </c>
      <c r="X60" s="224" t="s">
        <v>53</v>
      </c>
      <c r="Y60" s="224" t="s">
        <v>53</v>
      </c>
      <c r="Z60" s="224" t="s">
        <v>65</v>
      </c>
      <c r="AA60" s="224" t="s">
        <v>65</v>
      </c>
      <c r="AB60" s="180"/>
      <c r="AC60" s="224" t="s">
        <v>65</v>
      </c>
      <c r="AD60" s="224" t="s">
        <v>76</v>
      </c>
      <c r="AE60" s="224" t="s">
        <v>88</v>
      </c>
      <c r="AF60" s="224" t="s">
        <v>65</v>
      </c>
      <c r="AG60" s="224" t="s">
        <v>65</v>
      </c>
      <c r="AH60" s="224" t="s">
        <v>76</v>
      </c>
      <c r="AI60" s="224" t="s">
        <v>88</v>
      </c>
      <c r="AJ60" s="224" t="s">
        <v>76</v>
      </c>
      <c r="AK60" s="224" t="s">
        <v>88</v>
      </c>
      <c r="AL60" s="180"/>
      <c r="AM60" s="224" t="s">
        <v>53</v>
      </c>
      <c r="AN60" s="181"/>
      <c r="AO60" s="6"/>
      <c r="AP60" s="6"/>
      <c r="AQ60" s="6"/>
      <c r="AR60" s="6"/>
    </row>
    <row r="61" spans="1:44" hidden="1" x14ac:dyDescent="0.25">
      <c r="L61" s="4"/>
      <c r="O61" s="1"/>
      <c r="Q61"/>
      <c r="R61" s="178"/>
      <c r="S61" s="180"/>
      <c r="T61" s="224" t="s">
        <v>54</v>
      </c>
      <c r="U61" s="224" t="s">
        <v>66</v>
      </c>
      <c r="V61" s="224" t="s">
        <v>77</v>
      </c>
      <c r="W61" s="224" t="s">
        <v>89</v>
      </c>
      <c r="X61" s="224" t="s">
        <v>54</v>
      </c>
      <c r="Y61" s="224" t="s">
        <v>54</v>
      </c>
      <c r="Z61" s="224" t="s">
        <v>66</v>
      </c>
      <c r="AA61" s="224" t="s">
        <v>66</v>
      </c>
      <c r="AB61" s="180"/>
      <c r="AC61" s="224" t="s">
        <v>66</v>
      </c>
      <c r="AD61" s="224" t="s">
        <v>77</v>
      </c>
      <c r="AE61" s="224" t="s">
        <v>89</v>
      </c>
      <c r="AF61" s="224" t="s">
        <v>66</v>
      </c>
      <c r="AG61" s="224" t="s">
        <v>66</v>
      </c>
      <c r="AH61" s="224" t="s">
        <v>77</v>
      </c>
      <c r="AI61" s="224" t="s">
        <v>89</v>
      </c>
      <c r="AJ61" s="224" t="s">
        <v>77</v>
      </c>
      <c r="AK61" s="224" t="s">
        <v>89</v>
      </c>
      <c r="AL61" s="180"/>
      <c r="AM61" s="224" t="s">
        <v>54</v>
      </c>
      <c r="AN61" s="181"/>
      <c r="AO61" s="6"/>
      <c r="AP61" s="6"/>
      <c r="AQ61" s="6"/>
      <c r="AR61" s="6"/>
    </row>
    <row r="62" spans="1:44" hidden="1" x14ac:dyDescent="0.25">
      <c r="L62" s="4"/>
      <c r="N62" s="1"/>
      <c r="Q62"/>
      <c r="R62" s="178"/>
      <c r="S62" s="180"/>
      <c r="T62" s="224" t="s">
        <v>55</v>
      </c>
      <c r="U62" s="224" t="s">
        <v>67</v>
      </c>
      <c r="V62" s="224" t="s">
        <v>78</v>
      </c>
      <c r="W62" s="224" t="s">
        <v>90</v>
      </c>
      <c r="X62" s="224" t="s">
        <v>55</v>
      </c>
      <c r="Y62" s="224" t="s">
        <v>55</v>
      </c>
      <c r="Z62" s="224" t="s">
        <v>67</v>
      </c>
      <c r="AA62" s="224" t="s">
        <v>67</v>
      </c>
      <c r="AB62" s="180"/>
      <c r="AC62" s="224" t="s">
        <v>67</v>
      </c>
      <c r="AD62" s="224" t="s">
        <v>78</v>
      </c>
      <c r="AE62" s="224" t="s">
        <v>90</v>
      </c>
      <c r="AF62" s="224" t="s">
        <v>67</v>
      </c>
      <c r="AG62" s="224" t="s">
        <v>67</v>
      </c>
      <c r="AH62" s="224" t="s">
        <v>78</v>
      </c>
      <c r="AI62" s="224" t="s">
        <v>90</v>
      </c>
      <c r="AJ62" s="224" t="s">
        <v>78</v>
      </c>
      <c r="AK62" s="224" t="s">
        <v>90</v>
      </c>
      <c r="AL62" s="180"/>
      <c r="AM62" s="224" t="s">
        <v>55</v>
      </c>
      <c r="AN62" s="181"/>
      <c r="AO62" s="6"/>
      <c r="AP62" s="6"/>
      <c r="AQ62" s="6"/>
      <c r="AR62" s="6"/>
    </row>
    <row r="63" spans="1:44" hidden="1" x14ac:dyDescent="0.25">
      <c r="L63" s="4"/>
      <c r="N63" s="1"/>
      <c r="Q63"/>
      <c r="R63" s="178"/>
      <c r="S63" s="180"/>
      <c r="T63" s="224" t="s">
        <v>56</v>
      </c>
      <c r="U63" s="224" t="s">
        <v>314</v>
      </c>
      <c r="V63" s="224" t="s">
        <v>79</v>
      </c>
      <c r="W63" s="224" t="s">
        <v>91</v>
      </c>
      <c r="X63" s="224" t="s">
        <v>56</v>
      </c>
      <c r="Y63" s="224" t="s">
        <v>56</v>
      </c>
      <c r="Z63" s="224" t="s">
        <v>314</v>
      </c>
      <c r="AA63" s="224" t="s">
        <v>314</v>
      </c>
      <c r="AB63" s="180"/>
      <c r="AC63" s="224" t="s">
        <v>314</v>
      </c>
      <c r="AD63" s="224" t="s">
        <v>79</v>
      </c>
      <c r="AE63" s="224" t="s">
        <v>91</v>
      </c>
      <c r="AF63" s="224" t="s">
        <v>314</v>
      </c>
      <c r="AG63" s="224" t="s">
        <v>314</v>
      </c>
      <c r="AH63" s="224" t="s">
        <v>79</v>
      </c>
      <c r="AI63" s="224" t="s">
        <v>91</v>
      </c>
      <c r="AJ63" s="224" t="s">
        <v>79</v>
      </c>
      <c r="AK63" s="224" t="s">
        <v>91</v>
      </c>
      <c r="AL63" s="180"/>
      <c r="AM63" s="224" t="s">
        <v>56</v>
      </c>
      <c r="AN63" s="181"/>
      <c r="AO63" s="6"/>
      <c r="AP63" s="6"/>
      <c r="AQ63" s="6"/>
      <c r="AR63" s="6"/>
    </row>
    <row r="64" spans="1:44" hidden="1" x14ac:dyDescent="0.25">
      <c r="L64" s="4"/>
      <c r="M64" s="6"/>
      <c r="N64" s="6"/>
      <c r="Q64"/>
      <c r="R64" s="178"/>
      <c r="S64" s="180"/>
      <c r="T64" s="224"/>
      <c r="U64" s="224"/>
      <c r="V64" s="224"/>
      <c r="W64" s="224"/>
      <c r="X64" s="224" t="s">
        <v>317</v>
      </c>
      <c r="Y64" s="224" t="s">
        <v>318</v>
      </c>
      <c r="Z64" s="224" t="s">
        <v>318</v>
      </c>
      <c r="AA64" s="224" t="s">
        <v>319</v>
      </c>
      <c r="AB64" s="180"/>
      <c r="AC64" s="224"/>
      <c r="AD64" s="224"/>
      <c r="AE64" s="224"/>
      <c r="AF64" s="224" t="s">
        <v>318</v>
      </c>
      <c r="AG64" s="224" t="s">
        <v>319</v>
      </c>
      <c r="AH64" s="224" t="s">
        <v>319</v>
      </c>
      <c r="AI64" s="180"/>
      <c r="AJ64" s="224" t="s">
        <v>319</v>
      </c>
      <c r="AK64" s="180"/>
      <c r="AL64" s="180"/>
      <c r="AM64" s="224" t="s">
        <v>319</v>
      </c>
      <c r="AN64" s="181"/>
      <c r="AO64" s="6"/>
      <c r="AP64" s="6"/>
      <c r="AQ64" s="6"/>
      <c r="AR64" s="6"/>
    </row>
    <row r="65" spans="12:44" hidden="1" x14ac:dyDescent="0.25">
      <c r="L65" s="4"/>
      <c r="Q65"/>
      <c r="R65" s="178"/>
      <c r="S65" s="180"/>
      <c r="T65" s="180"/>
      <c r="U65" s="180"/>
      <c r="V65" s="180"/>
      <c r="W65" s="180"/>
      <c r="X65" s="224" t="s">
        <v>57</v>
      </c>
      <c r="Y65" s="224" t="s">
        <v>68</v>
      </c>
      <c r="Z65" s="224" t="s">
        <v>68</v>
      </c>
      <c r="AA65" s="224" t="s">
        <v>80</v>
      </c>
      <c r="AB65" s="180"/>
      <c r="AC65" s="180"/>
      <c r="AD65" s="180"/>
      <c r="AE65" s="180"/>
      <c r="AF65" s="224" t="s">
        <v>68</v>
      </c>
      <c r="AG65" s="224" t="s">
        <v>80</v>
      </c>
      <c r="AH65" s="224" t="s">
        <v>80</v>
      </c>
      <c r="AI65" s="180"/>
      <c r="AJ65" s="224" t="s">
        <v>80</v>
      </c>
      <c r="AK65" s="180"/>
      <c r="AL65" s="180"/>
      <c r="AM65" s="224" t="s">
        <v>80</v>
      </c>
      <c r="AN65" s="181"/>
      <c r="AO65" s="6"/>
      <c r="AP65" s="6"/>
      <c r="AQ65" s="6"/>
      <c r="AR65" s="6"/>
    </row>
    <row r="66" spans="12:44" hidden="1" x14ac:dyDescent="0.25">
      <c r="L66" s="4"/>
      <c r="R66" s="178"/>
      <c r="S66" s="180"/>
      <c r="T66" s="180"/>
      <c r="U66" s="180"/>
      <c r="V66" s="180"/>
      <c r="W66" s="180"/>
      <c r="X66" s="224" t="s">
        <v>58</v>
      </c>
      <c r="Y66" s="224" t="s">
        <v>69</v>
      </c>
      <c r="Z66" s="224" t="s">
        <v>69</v>
      </c>
      <c r="AA66" s="224" t="s">
        <v>81</v>
      </c>
      <c r="AB66" s="180"/>
      <c r="AC66" s="180"/>
      <c r="AD66" s="180"/>
      <c r="AE66" s="180"/>
      <c r="AF66" s="224" t="s">
        <v>69</v>
      </c>
      <c r="AG66" s="224" t="s">
        <v>81</v>
      </c>
      <c r="AH66" s="224" t="s">
        <v>81</v>
      </c>
      <c r="AI66" s="180"/>
      <c r="AJ66" s="224" t="s">
        <v>81</v>
      </c>
      <c r="AK66" s="180"/>
      <c r="AL66" s="180"/>
      <c r="AM66" s="224" t="s">
        <v>81</v>
      </c>
      <c r="AN66" s="181"/>
      <c r="AO66" s="6"/>
      <c r="AP66" s="6"/>
      <c r="AQ66" s="6"/>
      <c r="AR66" s="6"/>
    </row>
    <row r="67" spans="12:44" hidden="1" x14ac:dyDescent="0.25">
      <c r="R67" s="178"/>
      <c r="S67" s="180"/>
      <c r="T67" s="180"/>
      <c r="U67" s="180"/>
      <c r="V67" s="180"/>
      <c r="W67" s="180"/>
      <c r="X67" s="224" t="s">
        <v>59</v>
      </c>
      <c r="Y67" s="224" t="s">
        <v>70</v>
      </c>
      <c r="Z67" s="224" t="s">
        <v>70</v>
      </c>
      <c r="AA67" s="224" t="s">
        <v>82</v>
      </c>
      <c r="AB67" s="180"/>
      <c r="AC67" s="180"/>
      <c r="AD67" s="180"/>
      <c r="AE67" s="180"/>
      <c r="AF67" s="224" t="s">
        <v>70</v>
      </c>
      <c r="AG67" s="224" t="s">
        <v>82</v>
      </c>
      <c r="AH67" s="224" t="s">
        <v>82</v>
      </c>
      <c r="AI67" s="180"/>
      <c r="AJ67" s="224" t="s">
        <v>82</v>
      </c>
      <c r="AK67" s="180"/>
      <c r="AL67" s="180"/>
      <c r="AM67" s="224" t="s">
        <v>82</v>
      </c>
      <c r="AN67" s="181"/>
      <c r="AO67" s="6"/>
      <c r="AP67" s="6"/>
      <c r="AQ67" s="6"/>
      <c r="AR67" s="6"/>
    </row>
    <row r="68" spans="12:44" hidden="1" x14ac:dyDescent="0.25">
      <c r="R68" s="178"/>
      <c r="S68" s="180"/>
      <c r="T68" s="180"/>
      <c r="U68" s="180"/>
      <c r="V68" s="180"/>
      <c r="W68" s="180"/>
      <c r="X68" s="224" t="s">
        <v>60</v>
      </c>
      <c r="Y68" s="224" t="s">
        <v>71</v>
      </c>
      <c r="Z68" s="224" t="s">
        <v>71</v>
      </c>
      <c r="AA68" s="224" t="s">
        <v>83</v>
      </c>
      <c r="AB68" s="180"/>
      <c r="AC68" s="180"/>
      <c r="AD68" s="180"/>
      <c r="AE68" s="180"/>
      <c r="AF68" s="224" t="s">
        <v>71</v>
      </c>
      <c r="AG68" s="224" t="s">
        <v>83</v>
      </c>
      <c r="AH68" s="224" t="s">
        <v>83</v>
      </c>
      <c r="AI68" s="180"/>
      <c r="AJ68" s="224" t="s">
        <v>83</v>
      </c>
      <c r="AK68" s="180"/>
      <c r="AL68" s="180"/>
      <c r="AM68" s="224" t="s">
        <v>83</v>
      </c>
      <c r="AN68" s="181"/>
      <c r="AO68" s="6"/>
      <c r="AP68" s="6"/>
      <c r="AQ68" s="6"/>
      <c r="AR68" s="6"/>
    </row>
    <row r="69" spans="12:44" ht="15" hidden="1" customHeight="1" x14ac:dyDescent="0.25">
      <c r="R69" s="178"/>
      <c r="S69" s="180"/>
      <c r="T69" s="180"/>
      <c r="U69" s="180"/>
      <c r="V69" s="180"/>
      <c r="W69" s="180"/>
      <c r="X69" s="224" t="s">
        <v>61</v>
      </c>
      <c r="Y69" s="224" t="s">
        <v>72</v>
      </c>
      <c r="Z69" s="224" t="s">
        <v>72</v>
      </c>
      <c r="AA69" s="224" t="s">
        <v>84</v>
      </c>
      <c r="AB69" s="180"/>
      <c r="AC69" s="180"/>
      <c r="AD69" s="180"/>
      <c r="AE69" s="180"/>
      <c r="AF69" s="224" t="s">
        <v>72</v>
      </c>
      <c r="AG69" s="224" t="s">
        <v>84</v>
      </c>
      <c r="AH69" s="224" t="s">
        <v>84</v>
      </c>
      <c r="AI69" s="180"/>
      <c r="AJ69" s="224" t="s">
        <v>84</v>
      </c>
      <c r="AK69" s="180"/>
      <c r="AL69" s="180"/>
      <c r="AM69" s="224" t="s">
        <v>84</v>
      </c>
      <c r="AN69" s="181"/>
      <c r="AO69" s="6"/>
      <c r="AP69" s="6"/>
      <c r="AQ69" s="6"/>
      <c r="AR69" s="6"/>
    </row>
    <row r="70" spans="12:44" hidden="1" x14ac:dyDescent="0.25">
      <c r="R70" s="178"/>
      <c r="S70" s="180"/>
      <c r="T70" s="180"/>
      <c r="U70" s="180"/>
      <c r="V70" s="180"/>
      <c r="W70" s="180"/>
      <c r="X70" s="224" t="s">
        <v>62</v>
      </c>
      <c r="Y70" s="224" t="s">
        <v>73</v>
      </c>
      <c r="Z70" s="224" t="s">
        <v>73</v>
      </c>
      <c r="AA70" s="224" t="s">
        <v>85</v>
      </c>
      <c r="AB70" s="180"/>
      <c r="AC70" s="180"/>
      <c r="AD70" s="180"/>
      <c r="AE70" s="180"/>
      <c r="AF70" s="224" t="s">
        <v>73</v>
      </c>
      <c r="AG70" s="224" t="s">
        <v>85</v>
      </c>
      <c r="AH70" s="224" t="s">
        <v>85</v>
      </c>
      <c r="AI70" s="180"/>
      <c r="AJ70" s="224" t="s">
        <v>85</v>
      </c>
      <c r="AK70" s="180"/>
      <c r="AL70" s="180"/>
      <c r="AM70" s="224" t="s">
        <v>85</v>
      </c>
      <c r="AN70" s="181"/>
      <c r="AO70" s="6"/>
      <c r="AP70" s="6"/>
      <c r="AQ70" s="6"/>
      <c r="AR70" s="6"/>
    </row>
    <row r="71" spans="12:44" hidden="1" x14ac:dyDescent="0.25">
      <c r="R71" s="178"/>
      <c r="S71" s="180"/>
      <c r="T71" s="180"/>
      <c r="U71" s="180"/>
      <c r="V71" s="180"/>
      <c r="W71" s="180"/>
      <c r="X71" s="224" t="s">
        <v>63</v>
      </c>
      <c r="Y71" s="224" t="s">
        <v>74</v>
      </c>
      <c r="Z71" s="224" t="s">
        <v>74</v>
      </c>
      <c r="AA71" s="224" t="s">
        <v>86</v>
      </c>
      <c r="AB71" s="180"/>
      <c r="AC71" s="180"/>
      <c r="AD71" s="180"/>
      <c r="AE71" s="180"/>
      <c r="AF71" s="224" t="s">
        <v>74</v>
      </c>
      <c r="AG71" s="224" t="s">
        <v>86</v>
      </c>
      <c r="AH71" s="224" t="s">
        <v>86</v>
      </c>
      <c r="AI71" s="180"/>
      <c r="AJ71" s="224" t="s">
        <v>86</v>
      </c>
      <c r="AK71" s="180"/>
      <c r="AL71" s="180"/>
      <c r="AM71" s="224" t="s">
        <v>86</v>
      </c>
      <c r="AN71" s="181"/>
      <c r="AO71" s="6"/>
      <c r="AP71" s="6"/>
      <c r="AQ71" s="6"/>
      <c r="AR71" s="6"/>
    </row>
    <row r="72" spans="12:44" hidden="1" x14ac:dyDescent="0.25">
      <c r="R72" s="178"/>
      <c r="S72" s="180"/>
      <c r="T72" s="180"/>
      <c r="U72" s="180"/>
      <c r="V72" s="180"/>
      <c r="W72" s="180"/>
      <c r="X72" s="224" t="s">
        <v>635</v>
      </c>
      <c r="Y72" s="224" t="s">
        <v>75</v>
      </c>
      <c r="Z72" s="224" t="s">
        <v>75</v>
      </c>
      <c r="AA72" s="224" t="s">
        <v>87</v>
      </c>
      <c r="AB72" s="180"/>
      <c r="AC72" s="180"/>
      <c r="AD72" s="180"/>
      <c r="AE72" s="180"/>
      <c r="AF72" s="224" t="s">
        <v>75</v>
      </c>
      <c r="AG72" s="224" t="s">
        <v>87</v>
      </c>
      <c r="AH72" s="224" t="s">
        <v>87</v>
      </c>
      <c r="AI72" s="180"/>
      <c r="AJ72" s="224" t="s">
        <v>87</v>
      </c>
      <c r="AK72" s="180"/>
      <c r="AL72" s="180"/>
      <c r="AM72" s="224" t="s">
        <v>87</v>
      </c>
      <c r="AN72" s="181"/>
      <c r="AO72" s="6"/>
      <c r="AP72" s="6"/>
      <c r="AQ72" s="6"/>
      <c r="AR72" s="6"/>
    </row>
    <row r="73" spans="12:44" hidden="1" x14ac:dyDescent="0.25">
      <c r="R73" s="178"/>
      <c r="S73" s="180"/>
      <c r="T73" s="180"/>
      <c r="U73" s="180"/>
      <c r="V73" s="180"/>
      <c r="W73" s="180"/>
      <c r="X73" s="224" t="s">
        <v>65</v>
      </c>
      <c r="Y73" s="224" t="s">
        <v>76</v>
      </c>
      <c r="Z73" s="224" t="s">
        <v>76</v>
      </c>
      <c r="AA73" s="224" t="s">
        <v>88</v>
      </c>
      <c r="AB73" s="180"/>
      <c r="AC73" s="180"/>
      <c r="AD73" s="180"/>
      <c r="AE73" s="180"/>
      <c r="AF73" s="224" t="s">
        <v>76</v>
      </c>
      <c r="AG73" s="224" t="s">
        <v>88</v>
      </c>
      <c r="AH73" s="224" t="s">
        <v>88</v>
      </c>
      <c r="AI73" s="180"/>
      <c r="AJ73" s="224" t="s">
        <v>88</v>
      </c>
      <c r="AK73" s="180"/>
      <c r="AL73" s="180"/>
      <c r="AM73" s="224" t="s">
        <v>88</v>
      </c>
      <c r="AN73" s="181"/>
      <c r="AO73" s="6"/>
      <c r="AP73" s="6"/>
      <c r="AQ73" s="6"/>
      <c r="AR73" s="6"/>
    </row>
    <row r="74" spans="12:44" hidden="1" x14ac:dyDescent="0.25">
      <c r="R74" s="178"/>
      <c r="S74" s="180"/>
      <c r="T74" s="180"/>
      <c r="U74" s="180"/>
      <c r="V74" s="180"/>
      <c r="W74" s="180"/>
      <c r="X74" s="224" t="s">
        <v>66</v>
      </c>
      <c r="Y74" s="224" t="s">
        <v>77</v>
      </c>
      <c r="Z74" s="224" t="s">
        <v>77</v>
      </c>
      <c r="AA74" s="224" t="s">
        <v>89</v>
      </c>
      <c r="AB74" s="180"/>
      <c r="AC74" s="180"/>
      <c r="AD74" s="180"/>
      <c r="AE74" s="180"/>
      <c r="AF74" s="224" t="s">
        <v>77</v>
      </c>
      <c r="AG74" s="224" t="s">
        <v>89</v>
      </c>
      <c r="AH74" s="224" t="s">
        <v>89</v>
      </c>
      <c r="AI74" s="180"/>
      <c r="AJ74" s="224" t="s">
        <v>89</v>
      </c>
      <c r="AK74" s="180"/>
      <c r="AL74" s="180"/>
      <c r="AM74" s="224" t="s">
        <v>89</v>
      </c>
      <c r="AN74" s="181"/>
      <c r="AO74" s="6"/>
      <c r="AP74" s="6"/>
      <c r="AQ74" s="6"/>
      <c r="AR74" s="6"/>
    </row>
    <row r="75" spans="12:44" hidden="1" x14ac:dyDescent="0.25">
      <c r="R75" s="178"/>
      <c r="S75" s="180"/>
      <c r="T75" s="180"/>
      <c r="U75" s="180"/>
      <c r="V75" s="180"/>
      <c r="W75" s="180"/>
      <c r="X75" s="224" t="s">
        <v>67</v>
      </c>
      <c r="Y75" s="224" t="s">
        <v>78</v>
      </c>
      <c r="Z75" s="224" t="s">
        <v>78</v>
      </c>
      <c r="AA75" s="224" t="s">
        <v>90</v>
      </c>
      <c r="AB75" s="180"/>
      <c r="AC75" s="180"/>
      <c r="AD75" s="180"/>
      <c r="AE75" s="180"/>
      <c r="AF75" s="224" t="s">
        <v>78</v>
      </c>
      <c r="AG75" s="224" t="s">
        <v>90</v>
      </c>
      <c r="AH75" s="224" t="s">
        <v>90</v>
      </c>
      <c r="AI75" s="180"/>
      <c r="AJ75" s="224" t="s">
        <v>90</v>
      </c>
      <c r="AK75" s="180"/>
      <c r="AL75" s="180"/>
      <c r="AM75" s="224" t="s">
        <v>90</v>
      </c>
      <c r="AN75" s="181"/>
      <c r="AO75" s="6"/>
      <c r="AP75" s="6"/>
      <c r="AQ75" s="6"/>
      <c r="AR75" s="6"/>
    </row>
    <row r="76" spans="12:44" hidden="1" x14ac:dyDescent="0.25">
      <c r="R76" s="204"/>
      <c r="S76" s="182"/>
      <c r="T76" s="182"/>
      <c r="U76" s="182"/>
      <c r="V76" s="182"/>
      <c r="W76" s="182"/>
      <c r="X76" s="226" t="s">
        <v>314</v>
      </c>
      <c r="Y76" s="226" t="s">
        <v>79</v>
      </c>
      <c r="Z76" s="226" t="s">
        <v>79</v>
      </c>
      <c r="AA76" s="226" t="s">
        <v>91</v>
      </c>
      <c r="AB76" s="182"/>
      <c r="AC76" s="182"/>
      <c r="AD76" s="182"/>
      <c r="AE76" s="182"/>
      <c r="AF76" s="226" t="s">
        <v>79</v>
      </c>
      <c r="AG76" s="226" t="s">
        <v>91</v>
      </c>
      <c r="AH76" s="226" t="s">
        <v>91</v>
      </c>
      <c r="AI76" s="182"/>
      <c r="AJ76" s="226" t="s">
        <v>91</v>
      </c>
      <c r="AK76" s="182"/>
      <c r="AL76" s="182"/>
      <c r="AM76" s="226" t="s">
        <v>91</v>
      </c>
      <c r="AN76" s="200"/>
    </row>
  </sheetData>
  <sheetProtection sheet="1" objects="1" scenarios="1"/>
  <protectedRanges>
    <protectedRange sqref="B28:B36" name="Range4"/>
    <protectedRange sqref="C8:D25" name="Range2"/>
    <protectedRange sqref="D2:D5 J2" name="Range1"/>
    <protectedRange sqref="L8:P23" name="Range5"/>
  </protectedRanges>
  <dataConsolidate/>
  <mergeCells count="56">
    <mergeCell ref="B39:O39"/>
    <mergeCell ref="B40:O40"/>
    <mergeCell ref="C25:D25"/>
    <mergeCell ref="L27:O27"/>
    <mergeCell ref="L28:O37"/>
    <mergeCell ref="B37:D37"/>
    <mergeCell ref="E37:G37"/>
    <mergeCell ref="J28:J30"/>
    <mergeCell ref="J31:J37"/>
    <mergeCell ref="E36:G36"/>
    <mergeCell ref="B27:D27"/>
    <mergeCell ref="E35:G35"/>
    <mergeCell ref="E30:G30"/>
    <mergeCell ref="E31:G31"/>
    <mergeCell ref="E32:G32"/>
    <mergeCell ref="E33:G33"/>
    <mergeCell ref="E34:G34"/>
    <mergeCell ref="E27:G27"/>
    <mergeCell ref="C7:D7"/>
    <mergeCell ref="C17:D17"/>
    <mergeCell ref="C18:D18"/>
    <mergeCell ref="C19:D19"/>
    <mergeCell ref="C20:D20"/>
    <mergeCell ref="C13:D13"/>
    <mergeCell ref="C14:D14"/>
    <mergeCell ref="C15:D15"/>
    <mergeCell ref="C16:D16"/>
    <mergeCell ref="C8:D8"/>
    <mergeCell ref="C9:D9"/>
    <mergeCell ref="C10:D10"/>
    <mergeCell ref="C11:D11"/>
    <mergeCell ref="C12:D12"/>
    <mergeCell ref="L24:M24"/>
    <mergeCell ref="L25:M25"/>
    <mergeCell ref="N24:O24"/>
    <mergeCell ref="N25:O25"/>
    <mergeCell ref="C21:D21"/>
    <mergeCell ref="C22:D22"/>
    <mergeCell ref="C23:D23"/>
    <mergeCell ref="C24:D24"/>
    <mergeCell ref="E1:J1"/>
    <mergeCell ref="E29:G29"/>
    <mergeCell ref="E28:G28"/>
    <mergeCell ref="F2:G2"/>
    <mergeCell ref="H2:I2"/>
    <mergeCell ref="F3:I5"/>
    <mergeCell ref="B2:C2"/>
    <mergeCell ref="B3:C3"/>
    <mergeCell ref="B4:C4"/>
    <mergeCell ref="B5:C5"/>
    <mergeCell ref="L4:O4"/>
    <mergeCell ref="L3:O3"/>
    <mergeCell ref="L2:O2"/>
    <mergeCell ref="K5:K6"/>
    <mergeCell ref="L6:O6"/>
    <mergeCell ref="L5:O5"/>
  </mergeCells>
  <conditionalFormatting sqref="E37 B37">
    <cfRule type="expression" dxfId="105" priority="48">
      <formula>IF(AND($E$37&gt;0,$E$37=#REF!*1000),TRUE,FALSE)</formula>
    </cfRule>
  </conditionalFormatting>
  <conditionalFormatting sqref="B36:G36">
    <cfRule type="expression" dxfId="104" priority="45">
      <formula>IF($C$36="",TRUE,FALSE)</formula>
    </cfRule>
  </conditionalFormatting>
  <conditionalFormatting sqref="E8:E23">
    <cfRule type="expression" dxfId="103" priority="38">
      <formula>IF(E8&lt;&gt;"",IF(OR($E8&lt;1,E8&gt;9),TRUE,FALSE),FALSE)</formula>
    </cfRule>
  </conditionalFormatting>
  <conditionalFormatting sqref="F8:F23">
    <cfRule type="expression" dxfId="102" priority="37">
      <formula>IF($F8&lt;&gt;"",IF(OR($F8&lt;1,$F8&gt;8),TRUE,FALSE),FALSE)</formula>
    </cfRule>
  </conditionalFormatting>
  <conditionalFormatting sqref="G8:G23">
    <cfRule type="expression" dxfId="101" priority="36">
      <formula>IF($G8&lt;&gt;"",IF(OR($G8&lt;1,$G8&gt;6),TRUE,FALSE),FALSE)</formula>
    </cfRule>
  </conditionalFormatting>
  <conditionalFormatting sqref="H8:H23">
    <cfRule type="expression" dxfId="100" priority="35">
      <formula>IF(AND($H8&lt;&gt;"-",$H8&lt;&gt;""),IF(OR($H8&lt;1,$H8&gt;6),TRUE,FALSE),FALSE)</formula>
    </cfRule>
  </conditionalFormatting>
  <conditionalFormatting sqref="I8:I23">
    <cfRule type="expression" dxfId="99" priority="34">
      <formula>IF($I8&lt;&gt;"",IF(OR($I8&lt;3,$I8&gt;11),TRUE,FALSE),FALSE)</formula>
    </cfRule>
  </conditionalFormatting>
  <conditionalFormatting sqref="B27:G27">
    <cfRule type="expression" dxfId="98" priority="11">
      <formula>IF($E$27&lt;0, TRUE, FALSE)</formula>
    </cfRule>
  </conditionalFormatting>
  <conditionalFormatting sqref="B28">
    <cfRule type="expression" dxfId="97" priority="137">
      <formula>IF(AND($D$4&lt;&gt;"",$B$28=#REF!),TRUE,FALSE)</formula>
    </cfRule>
  </conditionalFormatting>
  <conditionalFormatting sqref="L2:O3">
    <cfRule type="notContainsBlanks" dxfId="96" priority="9">
      <formula>LEN(TRIM(L2))&gt;0</formula>
    </cfRule>
  </conditionalFormatting>
  <conditionalFormatting sqref="L8:O23">
    <cfRule type="expression" dxfId="95" priority="160">
      <formula>$L$5&lt;&gt;""</formula>
    </cfRule>
  </conditionalFormatting>
  <conditionalFormatting sqref="C24:C25">
    <cfRule type="expression" dxfId="94" priority="179">
      <formula>$AR$8</formula>
    </cfRule>
  </conditionalFormatting>
  <conditionalFormatting sqref="C8:C23">
    <cfRule type="expression" dxfId="93" priority="184">
      <formula>OR($L$2&lt;&gt;"", $L$3&lt;&gt;"")</formula>
    </cfRule>
  </conditionalFormatting>
  <conditionalFormatting sqref="L5:O5">
    <cfRule type="notContainsBlanks" dxfId="92" priority="8">
      <formula>LEN(TRIM(L5))&gt;0</formula>
    </cfRule>
  </conditionalFormatting>
  <conditionalFormatting sqref="B35:G35">
    <cfRule type="expression" dxfId="91" priority="188">
      <formula>IF($AH$11="No", TRUE, FALSE)</formula>
    </cfRule>
  </conditionalFormatting>
  <conditionalFormatting sqref="L27:O37">
    <cfRule type="expression" dxfId="90" priority="7">
      <formula>AND($L$24="",$L$25="")</formula>
    </cfRule>
  </conditionalFormatting>
  <conditionalFormatting sqref="B40:O40">
    <cfRule type="expression" dxfId="89" priority="5">
      <formula>$B$40=""</formula>
    </cfRule>
  </conditionalFormatting>
  <conditionalFormatting sqref="B39:O39">
    <cfRule type="expression" dxfId="88" priority="4">
      <formula>$B$39=""</formula>
    </cfRule>
  </conditionalFormatting>
  <conditionalFormatting sqref="L6:O6">
    <cfRule type="notContainsBlanks" dxfId="87" priority="3">
      <formula>LEN(TRIM(L6))&gt;0</formula>
    </cfRule>
  </conditionalFormatting>
  <conditionalFormatting sqref="J2">
    <cfRule type="expression" dxfId="86" priority="2">
      <formula>$L$6&lt;&gt;""</formula>
    </cfRule>
  </conditionalFormatting>
  <conditionalFormatting sqref="L4:O4">
    <cfRule type="notContainsBlanks" dxfId="85" priority="1">
      <formula>LEN(TRIM(L4))&gt;0</formula>
    </cfRule>
  </conditionalFormatting>
  <dataValidations count="12">
    <dataValidation type="list" allowBlank="1" showInputMessage="1" showErrorMessage="1" sqref="O8:O23" xr:uid="{00000000-0002-0000-0300-000000000000}">
      <formula1>INDIRECT(AE8)</formula1>
    </dataValidation>
    <dataValidation type="list" allowBlank="1" showInputMessage="1" showErrorMessage="1" sqref="M8:M23" xr:uid="{00000000-0002-0000-0300-000001000000}">
      <formula1>INDIRECT(AD8)</formula1>
    </dataValidation>
    <dataValidation type="list" allowBlank="1" showInputMessage="1" showErrorMessage="1" sqref="B31" xr:uid="{00000000-0002-0000-0300-000002000000}">
      <formula1>$AI$8:$AI$20</formula1>
    </dataValidation>
    <dataValidation type="list" allowBlank="1" showInputMessage="1" showErrorMessage="1" sqref="B35 B33" xr:uid="{00000000-0002-0000-0300-000003000000}">
      <formula1>$AI$8:$AI$11</formula1>
    </dataValidation>
    <dataValidation type="list" allowBlank="1" showInputMessage="1" showErrorMessage="1" sqref="B30 B28" xr:uid="{00000000-0002-0000-0300-000004000000}">
      <formula1>$AI$8:$AI$14</formula1>
    </dataValidation>
    <dataValidation type="list" allowBlank="1" showInputMessage="1" showErrorMessage="1" sqref="B29" xr:uid="{00000000-0002-0000-0300-000005000000}">
      <formula1>$AI$8:$AI$16</formula1>
    </dataValidation>
    <dataValidation type="list" allowBlank="1" showInputMessage="1" showErrorMessage="1" sqref="B36 B34" xr:uid="{00000000-0002-0000-0300-000006000000}">
      <formula1>$AI$8:$AI$9</formula1>
    </dataValidation>
    <dataValidation type="list" allowBlank="1" showInputMessage="1" showErrorMessage="1" sqref="B32" xr:uid="{00000000-0002-0000-0300-000007000000}">
      <formula1>$AI$8:$AI$10</formula1>
    </dataValidation>
    <dataValidation type="list" allowBlank="1" showInputMessage="1" showErrorMessage="1" sqref="C8:C23" xr:uid="{00000000-0002-0000-0300-000008000000}">
      <formula1>$AK$8:$AK$24</formula1>
    </dataValidation>
    <dataValidation type="list" allowBlank="1" showInputMessage="1" showErrorMessage="1" sqref="N8:N23" xr:uid="{00000000-0002-0000-0300-00000A000000}">
      <formula1>$R$29:$R$30</formula1>
    </dataValidation>
    <dataValidation type="list" allowBlank="1" showInputMessage="1" showErrorMessage="1" sqref="L8:L23" xr:uid="{00000000-0002-0000-0300-00000B000000}">
      <formula1>$R$29:$R$31</formula1>
    </dataValidation>
    <dataValidation type="list" allowBlank="1" showInputMessage="1" showErrorMessage="1" sqref="C24:D24 C25:D25" xr:uid="{E523F971-90B4-47FA-9D23-684D081680E7}">
      <formula1>$AQ$8:$AQ$30</formula1>
    </dataValidation>
  </dataValidations>
  <printOptions horizontalCentered="1" verticalCentered="1"/>
  <pageMargins left="0.23622047244094491" right="0.23622047244094491" top="0.23622047244094491" bottom="0.23622047244094491" header="0.31496062992125984" footer="0.31496062992125984"/>
  <pageSetup paperSize="9" scale="60" orientation="landscape" r:id="rId1"/>
  <colBreaks count="1" manualBreakCount="1">
    <brk id="16" max="1048575" man="1"/>
  </colBreaks>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300-00000C000000}">
          <x14:formula1>
            <xm:f>Teams!$B$1:$B$31</xm:f>
          </x14:formula1>
          <xm:sqref>D2</xm:sqref>
        </x14:dataValidation>
        <x14:dataValidation type="list" showInputMessage="1" showErrorMessage="1" xr:uid="{00000000-0002-0000-0300-00000D000000}">
          <x14:formula1>
            <xm:f>INDIRECT("Skill_Packs!$B$" &amp; MATCH(F2,Skill_Packs!A1:A6,0) &amp; ":$E$" &amp; MATCH(F2,Skill_Packs!A1:A6,0))</xm:f>
          </x14:formula1>
          <xm:sqref>J2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dimension ref="A1:CM200"/>
  <sheetViews>
    <sheetView zoomScale="90" zoomScaleNormal="90" workbookViewId="0">
      <pane xSplit="4" ySplit="7" topLeftCell="E8" activePane="bottomRight" state="frozen"/>
      <selection activeCell="E37" sqref="E37:G37"/>
      <selection pane="topRight" activeCell="E37" sqref="E37:G37"/>
      <selection pane="bottomLeft" activeCell="E37" sqref="E37:G37"/>
      <selection pane="bottomRight" activeCell="C8" sqref="C8:D8"/>
    </sheetView>
  </sheetViews>
  <sheetFormatPr defaultColWidth="11.42578125" defaultRowHeight="15" x14ac:dyDescent="0.25"/>
  <cols>
    <col min="1" max="1" width="4.5703125" style="6" customWidth="1"/>
    <col min="2" max="2" width="3.85546875" style="123" bestFit="1" customWidth="1"/>
    <col min="3" max="3" width="20.28515625" customWidth="1"/>
    <col min="4" max="4" width="23" bestFit="1" customWidth="1"/>
    <col min="5" max="9" width="4.7109375" style="3" customWidth="1"/>
    <col min="10" max="10" width="42.140625" customWidth="1"/>
    <col min="11" max="11" width="9" bestFit="1" customWidth="1"/>
    <col min="12" max="12" width="9.28515625" customWidth="1"/>
    <col min="13" max="13" width="3.42578125" customWidth="1"/>
    <col min="16" max="16" width="6.7109375" style="1" hidden="1" customWidth="1"/>
    <col min="19" max="19" width="6.7109375" style="1" hidden="1" customWidth="1"/>
    <col min="20" max="21" width="11.5703125" hidden="1" customWidth="1"/>
    <col min="22" max="22" width="6.7109375" style="1" hidden="1" customWidth="1"/>
    <col min="23" max="24" width="11.5703125" hidden="1" customWidth="1"/>
    <col min="25" max="25" width="8.28515625" style="1" hidden="1" customWidth="1"/>
    <col min="26" max="27" width="11.5703125" hidden="1" customWidth="1"/>
    <col min="28" max="28" width="6.7109375" style="1" hidden="1" customWidth="1"/>
    <col min="29" max="30" width="11.5703125" hidden="1" customWidth="1"/>
    <col min="31" max="31" width="6.7109375" style="1" hidden="1" customWidth="1"/>
    <col min="32" max="32" width="4.28515625" style="6" hidden="1" customWidth="1"/>
    <col min="33" max="37" width="6.7109375" style="6" hidden="1" customWidth="1"/>
    <col min="38" max="40" width="11.42578125" style="6" hidden="1" customWidth="1"/>
    <col min="41" max="42" width="11.42578125" hidden="1" customWidth="1"/>
    <col min="43" max="43" width="11.7109375" hidden="1" customWidth="1"/>
    <col min="44" max="44" width="11.42578125" hidden="1" customWidth="1"/>
    <col min="45" max="45" width="24.28515625" hidden="1" customWidth="1"/>
    <col min="46" max="46" width="9" hidden="1" customWidth="1"/>
    <col min="47" max="47" width="7.140625" hidden="1" customWidth="1"/>
    <col min="48" max="48" width="8.7109375" hidden="1" customWidth="1"/>
    <col min="49" max="49" width="8" hidden="1" customWidth="1"/>
    <col min="50" max="62" width="11.42578125" hidden="1" customWidth="1"/>
    <col min="63" max="63" width="11.5703125" style="6" hidden="1" customWidth="1"/>
    <col min="64" max="78" width="11.42578125" style="6" hidden="1" customWidth="1"/>
    <col min="79" max="79" width="11.5703125" style="6" customWidth="1"/>
    <col min="80" max="91" width="11.42578125" style="6"/>
  </cols>
  <sheetData>
    <row r="1" spans="1:91" s="6" customFormat="1" ht="15.75" thickBot="1" x14ac:dyDescent="0.3">
      <c r="B1" s="22"/>
      <c r="E1" s="325" t="s">
        <v>623</v>
      </c>
      <c r="F1" s="325"/>
      <c r="G1" s="325"/>
      <c r="H1" s="325"/>
      <c r="I1" s="325"/>
      <c r="J1" s="325"/>
      <c r="P1" s="16"/>
      <c r="S1" s="16"/>
      <c r="V1" s="16"/>
      <c r="Y1" s="16"/>
      <c r="AB1" s="16"/>
      <c r="AE1" s="16"/>
    </row>
    <row r="2" spans="1:91" s="6" customFormat="1" ht="15" customHeight="1" thickBot="1" x14ac:dyDescent="0.3">
      <c r="B2" s="22"/>
      <c r="E2" s="400" t="str">
        <f>IFERROR(IFERROR(VLOOKUP(LEFT($BN$4,3),SpecialRules,3,FALSE),"") &amp; IFERROR(VLOOKUP(MID($BN$4,4,3),SpecialRules,3,FALSE),""),"no Special Rules")</f>
        <v/>
      </c>
      <c r="F2" s="400"/>
      <c r="G2" s="400"/>
      <c r="H2" s="400"/>
      <c r="I2" s="400"/>
      <c r="J2" s="400"/>
      <c r="K2" s="402" t="s">
        <v>521</v>
      </c>
      <c r="L2" s="402" t="str">
        <f>IFERROR(VLOOKUP($D$4,Teams!$B$2:'Teams'!$I$31,8,FALSE),"-")</f>
        <v>-</v>
      </c>
      <c r="N2" s="412" t="s">
        <v>821</v>
      </c>
      <c r="O2" s="413"/>
      <c r="P2" s="13"/>
      <c r="Q2" s="416">
        <f>IFERROR($X$39+SUM($K$8:$K$23)-SUM($L$8:$L$23),0)</f>
        <v>0</v>
      </c>
      <c r="R2" s="417"/>
      <c r="S2" s="16"/>
      <c r="V2" s="16"/>
      <c r="Y2" s="16"/>
      <c r="AB2" s="16"/>
      <c r="AE2" s="16"/>
    </row>
    <row r="3" spans="1:91" s="6" customFormat="1" ht="15" customHeight="1" thickBot="1" x14ac:dyDescent="0.3">
      <c r="B3" s="22"/>
      <c r="C3" s="57" t="s">
        <v>0</v>
      </c>
      <c r="D3" s="63"/>
      <c r="E3" s="400"/>
      <c r="F3" s="400"/>
      <c r="G3" s="400"/>
      <c r="H3" s="400"/>
      <c r="I3" s="400"/>
      <c r="J3" s="400"/>
      <c r="K3" s="402"/>
      <c r="L3" s="402"/>
      <c r="N3" s="414"/>
      <c r="O3" s="415"/>
      <c r="P3" s="156"/>
      <c r="Q3" s="418"/>
      <c r="R3" s="419"/>
      <c r="S3" s="157"/>
      <c r="V3" s="16"/>
      <c r="Y3" s="16"/>
      <c r="AB3" s="16"/>
      <c r="AE3" s="16"/>
    </row>
    <row r="4" spans="1:91" s="6" customFormat="1" ht="15.75" customHeight="1" thickBot="1" x14ac:dyDescent="0.3">
      <c r="B4" s="22"/>
      <c r="C4" s="58" t="s">
        <v>1</v>
      </c>
      <c r="D4" s="20"/>
      <c r="E4" s="400"/>
      <c r="F4" s="400"/>
      <c r="G4" s="400"/>
      <c r="H4" s="400"/>
      <c r="I4" s="400"/>
      <c r="J4" s="400"/>
      <c r="N4" s="403" t="s">
        <v>16</v>
      </c>
      <c r="O4" s="404"/>
      <c r="P4" s="404"/>
      <c r="Q4" s="404"/>
      <c r="R4" s="145"/>
      <c r="S4" s="15"/>
      <c r="T4" s="14"/>
      <c r="U4" s="14"/>
      <c r="V4" s="13"/>
      <c r="W4" s="14"/>
      <c r="X4" s="14"/>
      <c r="Y4" s="13"/>
      <c r="Z4" s="14"/>
      <c r="AA4" s="14"/>
      <c r="AB4" s="13"/>
      <c r="AC4" s="14"/>
      <c r="AD4" s="14"/>
      <c r="AE4" s="15"/>
      <c r="AG4" s="426" t="s">
        <v>536</v>
      </c>
      <c r="AH4" s="427"/>
      <c r="AI4" s="427"/>
      <c r="AJ4" s="427"/>
      <c r="AK4" s="428"/>
      <c r="AM4" s="435" t="s">
        <v>537</v>
      </c>
      <c r="AN4" s="436"/>
      <c r="AO4" s="436"/>
      <c r="AP4" s="436"/>
      <c r="AQ4" s="437"/>
      <c r="BM4" s="23" t="e">
        <f>VLOOKUP($D$4,Teams!$B$2:$C$31,2,FALSE)</f>
        <v>#N/A</v>
      </c>
      <c r="BN4" s="6" t="e">
        <f>VLOOKUP($D$4,Teams!$B$2:$H$31,7,FALSE)</f>
        <v>#N/A</v>
      </c>
      <c r="BQ4" s="6" t="e">
        <f>VLOOKUP($D$4,Teams!$B$2:$D$31,3,FALSE)</f>
        <v>#N/A</v>
      </c>
      <c r="BR4" s="6" t="e">
        <f>VLOOKUP($D$4,Teams!$B$2:$E$31,4,FALSE)</f>
        <v>#N/A</v>
      </c>
      <c r="BV4" s="6" t="e">
        <f>BN4</f>
        <v>#N/A</v>
      </c>
    </row>
    <row r="5" spans="1:91" s="6" customFormat="1" ht="14.45" customHeight="1" thickBot="1" x14ac:dyDescent="0.3">
      <c r="B5" s="22"/>
      <c r="C5" s="59" t="s">
        <v>2</v>
      </c>
      <c r="D5" s="21"/>
      <c r="E5" s="400"/>
      <c r="F5" s="400"/>
      <c r="G5" s="400"/>
      <c r="H5" s="400"/>
      <c r="I5" s="400"/>
      <c r="J5" s="400"/>
      <c r="K5" s="323"/>
      <c r="N5" s="405"/>
      <c r="O5" s="406"/>
      <c r="P5" s="406"/>
      <c r="Q5" s="406"/>
      <c r="R5" s="146"/>
      <c r="S5" s="17"/>
      <c r="V5" s="16"/>
      <c r="Y5" s="16"/>
      <c r="AB5" s="16"/>
      <c r="AE5" s="17"/>
      <c r="AG5" s="429"/>
      <c r="AH5" s="430"/>
      <c r="AI5" s="430"/>
      <c r="AJ5" s="430"/>
      <c r="AK5" s="431"/>
      <c r="AM5" s="438"/>
      <c r="AN5" s="439"/>
      <c r="AO5" s="439"/>
      <c r="AP5" s="439"/>
      <c r="AQ5" s="440"/>
      <c r="BT5" s="6" t="s">
        <v>471</v>
      </c>
    </row>
    <row r="6" spans="1:91" s="6" customFormat="1" ht="15" customHeight="1" thickBot="1" x14ac:dyDescent="0.3">
      <c r="B6" s="22"/>
      <c r="E6" s="401"/>
      <c r="F6" s="401"/>
      <c r="G6" s="401"/>
      <c r="H6" s="401"/>
      <c r="I6" s="401"/>
      <c r="J6" s="401"/>
      <c r="K6" s="324"/>
      <c r="N6" s="407" t="s">
        <v>17</v>
      </c>
      <c r="O6" s="408"/>
      <c r="P6" s="409"/>
      <c r="Q6" s="410" t="s">
        <v>18</v>
      </c>
      <c r="R6" s="411"/>
      <c r="S6" s="147"/>
      <c r="T6" s="444" t="s">
        <v>19</v>
      </c>
      <c r="U6" s="444"/>
      <c r="V6" s="445"/>
      <c r="W6" s="446" t="s">
        <v>20</v>
      </c>
      <c r="X6" s="447"/>
      <c r="Y6" s="448"/>
      <c r="Z6" s="420" t="s">
        <v>21</v>
      </c>
      <c r="AA6" s="421"/>
      <c r="AB6" s="422"/>
      <c r="AC6" s="423" t="s">
        <v>22</v>
      </c>
      <c r="AD6" s="424"/>
      <c r="AE6" s="425"/>
      <c r="AG6" s="432"/>
      <c r="AH6" s="433"/>
      <c r="AI6" s="433"/>
      <c r="AJ6" s="433"/>
      <c r="AK6" s="434"/>
      <c r="AM6" s="441"/>
      <c r="AN6" s="442"/>
      <c r="AO6" s="442"/>
      <c r="AP6" s="442"/>
      <c r="AQ6" s="443"/>
      <c r="BO6" s="30" t="s">
        <v>198</v>
      </c>
      <c r="BP6" s="30" t="s">
        <v>199</v>
      </c>
      <c r="BQ6" s="30" t="s">
        <v>200</v>
      </c>
      <c r="BR6" s="30" t="s">
        <v>201</v>
      </c>
      <c r="BS6" s="45" t="s">
        <v>208</v>
      </c>
      <c r="BT6" s="6" t="s">
        <v>470</v>
      </c>
      <c r="BW6" s="6" t="s">
        <v>520</v>
      </c>
    </row>
    <row r="7" spans="1:91" s="5" customFormat="1" ht="30.75" thickBot="1" x14ac:dyDescent="0.3">
      <c r="A7" s="7"/>
      <c r="B7" s="124" t="s">
        <v>3</v>
      </c>
      <c r="C7" s="449" t="s">
        <v>823</v>
      </c>
      <c r="D7" s="450"/>
      <c r="E7" s="125" t="s">
        <v>5</v>
      </c>
      <c r="F7" s="125" t="s">
        <v>6</v>
      </c>
      <c r="G7" s="125" t="s">
        <v>7</v>
      </c>
      <c r="H7" s="125" t="s">
        <v>8</v>
      </c>
      <c r="I7" s="125" t="s">
        <v>9</v>
      </c>
      <c r="J7" s="35" t="s">
        <v>320</v>
      </c>
      <c r="K7" s="36" t="s">
        <v>10</v>
      </c>
      <c r="L7" s="119" t="s">
        <v>204</v>
      </c>
      <c r="M7" s="40"/>
      <c r="N7" s="37" t="s">
        <v>25</v>
      </c>
      <c r="O7" s="38" t="s">
        <v>27</v>
      </c>
      <c r="P7" s="39" t="s">
        <v>15</v>
      </c>
      <c r="Q7" s="37" t="s">
        <v>25</v>
      </c>
      <c r="R7" s="152" t="s">
        <v>27</v>
      </c>
      <c r="S7" s="148" t="s">
        <v>15</v>
      </c>
      <c r="T7" s="134" t="s">
        <v>25</v>
      </c>
      <c r="U7" s="38" t="s">
        <v>27</v>
      </c>
      <c r="V7" s="39" t="s">
        <v>23</v>
      </c>
      <c r="W7" s="37" t="s">
        <v>25</v>
      </c>
      <c r="X7" s="38" t="s">
        <v>27</v>
      </c>
      <c r="Y7" s="39" t="s">
        <v>23</v>
      </c>
      <c r="Z7" s="37" t="s">
        <v>25</v>
      </c>
      <c r="AA7" s="38" t="s">
        <v>27</v>
      </c>
      <c r="AB7" s="39" t="s">
        <v>23</v>
      </c>
      <c r="AC7" s="37" t="s">
        <v>25</v>
      </c>
      <c r="AD7" s="38" t="s">
        <v>27</v>
      </c>
      <c r="AE7" s="39" t="s">
        <v>23</v>
      </c>
      <c r="AF7" s="7"/>
      <c r="AG7" s="66" t="s">
        <v>5</v>
      </c>
      <c r="AH7" s="65" t="s">
        <v>6</v>
      </c>
      <c r="AI7" s="65" t="s">
        <v>7</v>
      </c>
      <c r="AJ7" s="65" t="s">
        <v>8</v>
      </c>
      <c r="AK7" s="67" t="s">
        <v>9</v>
      </c>
      <c r="AL7" s="7"/>
      <c r="AM7" s="80" t="s">
        <v>5</v>
      </c>
      <c r="AN7" s="81" t="s">
        <v>6</v>
      </c>
      <c r="AO7" s="81" t="s">
        <v>7</v>
      </c>
      <c r="AP7" s="81" t="s">
        <v>8</v>
      </c>
      <c r="AQ7" s="82" t="s">
        <v>9</v>
      </c>
      <c r="AR7" s="5" t="s">
        <v>306</v>
      </c>
      <c r="AS7" s="7" t="s">
        <v>307</v>
      </c>
      <c r="BB7" s="47" t="s">
        <v>26</v>
      </c>
      <c r="BC7"/>
      <c r="BD7" t="s">
        <v>306</v>
      </c>
      <c r="BE7"/>
      <c r="BF7" t="s">
        <v>307</v>
      </c>
      <c r="BG7" t="s">
        <v>24</v>
      </c>
      <c r="BH7" s="7" t="s">
        <v>523</v>
      </c>
      <c r="BI7" s="7" t="s">
        <v>254</v>
      </c>
      <c r="BL7" s="2">
        <v>0</v>
      </c>
      <c r="BQ7" s="5">
        <f>SUM(BQ8:BQ23)</f>
        <v>0</v>
      </c>
      <c r="BR7" s="5">
        <f>SUM(BR8:BR23)</f>
        <v>0</v>
      </c>
      <c r="BS7" s="5" t="b">
        <f>OR(BS8:BS18)</f>
        <v>0</v>
      </c>
      <c r="BV7" s="7"/>
      <c r="BW7" s="7" t="e">
        <f>OR(BW8:BW25)</f>
        <v>#N/A</v>
      </c>
      <c r="BX7" s="7"/>
      <c r="BY7" s="7"/>
      <c r="BZ7" s="7"/>
      <c r="CA7" s="7"/>
      <c r="CB7" s="7"/>
      <c r="CC7" s="7"/>
      <c r="CD7" s="7"/>
      <c r="CE7" s="7"/>
      <c r="CF7" s="7"/>
      <c r="CG7" s="7"/>
      <c r="CH7" s="7"/>
      <c r="CI7" s="7"/>
      <c r="CJ7" s="7"/>
      <c r="CK7" s="7"/>
      <c r="CL7" s="7"/>
      <c r="CM7" s="7"/>
    </row>
    <row r="8" spans="1:91" s="2" customFormat="1" ht="30" customHeight="1" x14ac:dyDescent="0.25">
      <c r="A8" s="8"/>
      <c r="B8" s="31">
        <v>1</v>
      </c>
      <c r="C8" s="451"/>
      <c r="D8" s="452"/>
      <c r="E8" s="32" t="str">
        <f t="shared" ref="E8:E23" si="0">IFERROR(IF((VLOOKUP($C8,PlayerList,5,FALSE)-$AG8+$AM8)&lt;1,1,IF((VLOOKUP($C8,PlayerList,5,FALSE)-$AG8+$AM8)&gt;9,9,(VLOOKUP($C8,PlayerList,5,FALSE)-$AG8+$AM8))),"")</f>
        <v/>
      </c>
      <c r="F8" s="32" t="str">
        <f t="shared" ref="F8:F23" si="1">IFERROR(IF((VLOOKUP($C8,PlayerList,6,FALSE)-$AH8+$AN8)&lt;1,1,IF((VLOOKUP($C8,PlayerList,6,FALSE)-$AH8+$AN8)&gt;8,8,(VLOOKUP($C8,PlayerList,6,FALSE)-$AH8+$AN8))),"")</f>
        <v/>
      </c>
      <c r="G8" s="68" t="str">
        <f t="shared" ref="G8:G23" si="2">IFERROR(IF((VLOOKUP($C8,PlayerList,7,FALSE)+$AI8-$AO8)&lt;1,1,IF((VLOOKUP($C8,PlayerList,7,FALSE)+$AI8-$AO8)&gt;6,6,(VLOOKUP($C8,PlayerList,7,FALSE)+$AI8-$AO8))),"")</f>
        <v/>
      </c>
      <c r="H8" s="68" t="str">
        <f t="shared" ref="H8:H23" si="3">IFERROR(IF((VLOOKUP($C8,PlayerList,8,FALSE)+$AJ8-$AP8)&lt;1,1,IF((VLOOKUP($C8,PlayerList,8,FALSE)+$AJ8-$AP8)&gt;6,6,(VLOOKUP($C8,PlayerList,8,FALSE)+$AJ8-$AP8))),"")</f>
        <v/>
      </c>
      <c r="I8" s="68" t="str">
        <f t="shared" ref="I8:I23" si="4">IFERROR(IF((VLOOKUP($C8,PlayerList,9,FALSE)-$AK8+$AQ8)&lt;3,3,IF((VLOOKUP($C8,PlayerList,9,FALSE)-$AK8+$AQ8)&gt;11,11,(VLOOKUP($C8,PlayerList,9,FALSE)-$AK8+$AQ8))),"")</f>
        <v/>
      </c>
      <c r="J8" s="33" t="str">
        <f t="shared" ref="J8:J23" si="5">IF(O8&lt;&gt;"",CONCATENATE(IF(BH8="None","",BH8&amp;", "),O8,IF(R8="","",", "),R8,IF(U8="","",", "),U8,IF(X8="","",", "),X8,IF(AA8="","",", "),AA8,IF(AD8="","",", "),AD8),BH8)</f>
        <v/>
      </c>
      <c r="K8" s="34" t="str">
        <f t="shared" ref="K8:K23" si="6">IFERROR(1000*IF(VLOOKUP($C8,PlayerList,4,FALSE)&lt;0,-VLOOKUP($C8,PlayerList,4,FALSE),VLOOKUP($C8,PlayerList,4,FALSE)),"")</f>
        <v/>
      </c>
      <c r="L8" s="120" t="str">
        <f>IFERROR(K8+1000*(SUM(BJ8:BK8)),"")</f>
        <v/>
      </c>
      <c r="M8" s="41"/>
      <c r="N8" s="48" t="s">
        <v>26</v>
      </c>
      <c r="O8" s="51"/>
      <c r="P8" s="54">
        <f t="shared" ref="P8:P23" si="7">VLOOKUP(N8,$N$44:$T$47,2,FALSE)</f>
        <v>0</v>
      </c>
      <c r="Q8" s="48" t="s">
        <v>26</v>
      </c>
      <c r="R8" s="153"/>
      <c r="S8" s="149">
        <f t="shared" ref="S8:S23" si="8">VLOOKUP(Q8,$N$44:$T$47,3,FALSE)</f>
        <v>0</v>
      </c>
      <c r="T8" s="135" t="s">
        <v>26</v>
      </c>
      <c r="U8" s="51"/>
      <c r="V8" s="54">
        <f t="shared" ref="V8:V23" si="9">VLOOKUP(T8,$N$44:$T$47,4,FALSE)</f>
        <v>0</v>
      </c>
      <c r="W8" s="48" t="s">
        <v>26</v>
      </c>
      <c r="X8" s="51"/>
      <c r="Y8" s="54">
        <f t="shared" ref="Y8:Y23" si="10">VLOOKUP(W8,$N$44:$T$47,5,FALSE)</f>
        <v>0</v>
      </c>
      <c r="Z8" s="48" t="s">
        <v>26</v>
      </c>
      <c r="AA8" s="51"/>
      <c r="AB8" s="54">
        <f t="shared" ref="AB8:AB23" si="11">VLOOKUP(Z8,$N$44:$T$47,6,FALSE)</f>
        <v>0</v>
      </c>
      <c r="AC8" s="48" t="s">
        <v>26</v>
      </c>
      <c r="AD8" s="51"/>
      <c r="AE8" s="54">
        <f t="shared" ref="AE8:AE23" si="12">VLOOKUP(AC8,$N$44:$T$47,7,FALSE)</f>
        <v>0</v>
      </c>
      <c r="AF8" s="8"/>
      <c r="AG8" s="71"/>
      <c r="AH8" s="72"/>
      <c r="AI8" s="72"/>
      <c r="AJ8" s="72"/>
      <c r="AK8" s="73"/>
      <c r="AL8" s="8"/>
      <c r="AM8" s="2">
        <f>COUNTIF($N8:$AE8,$N$52)</f>
        <v>0</v>
      </c>
      <c r="AN8" s="2">
        <f>COUNTIF($N8:$AE8,$N$55)</f>
        <v>0</v>
      </c>
      <c r="AO8" s="2">
        <f>COUNTIF($N8:$AE8,$N$54)</f>
        <v>0</v>
      </c>
      <c r="AP8" s="2">
        <f>COUNTIF($N8:$AE8,$N$53)</f>
        <v>0</v>
      </c>
      <c r="AQ8" s="2">
        <f>COUNTIF($N8:$AE8,$N$51)</f>
        <v>0</v>
      </c>
      <c r="AR8" s="8" t="str">
        <f>IFERROR(VLOOKUP($C8,PlayerList,11,FALSE),"")</f>
        <v/>
      </c>
      <c r="AS8" s="8" t="str">
        <f t="shared" ref="AS8:AS23" si="13">IFERROR(VLOOKUP($C8,PlayerList,12,FALSE),"")</f>
        <v/>
      </c>
      <c r="AT8" s="2" t="str">
        <f>HLOOKUP(N8,$BB$7:$BG$23,ROW()-6,FALSE)</f>
        <v>$O$66</v>
      </c>
      <c r="AU8" s="2" t="str">
        <f t="shared" ref="AU8:AU23" si="14">HLOOKUP(Q8,$BB$7:$BG$23,ROW()-6,FALSE)</f>
        <v>$O$66</v>
      </c>
      <c r="AV8" s="2" t="str">
        <f t="shared" ref="AV8:AV23" si="15">HLOOKUP(T8,$BB$7:$BG$23,ROW()-6,FALSE)</f>
        <v>$O$66</v>
      </c>
      <c r="AW8" s="2" t="str">
        <f t="shared" ref="AW8:AW23" si="16">HLOOKUP(W8,$BB$7:$BG$23,ROW()-6,FALSE)</f>
        <v>$O$66</v>
      </c>
      <c r="AX8" s="2" t="str">
        <f t="shared" ref="AX8:AX23" si="17">HLOOKUP(Z8,$BB$7:$BG$23,ROW()-6,FALSE)</f>
        <v>$O$66</v>
      </c>
      <c r="AY8" s="2" t="str">
        <f t="shared" ref="AY8:AY23" si="18">HLOOKUP(AC8,$BB$7:$BG$23,ROW()-6,FALSE)</f>
        <v>$O$66</v>
      </c>
      <c r="BB8" s="2" t="str">
        <f>$N$66</f>
        <v>$O$66</v>
      </c>
      <c r="BC8" s="8"/>
      <c r="BD8" s="8" t="e">
        <f>HLOOKUP(AR8,$AM$68:$BH$69,2,FALSE)</f>
        <v>#N/A</v>
      </c>
      <c r="BE8" s="8"/>
      <c r="BF8" s="2" t="e">
        <f>HLOOKUP(AS8,$AM$68:$BH$69,2,FALSE)</f>
        <v>#N/A</v>
      </c>
      <c r="BG8" s="2" t="str">
        <f>$N$69</f>
        <v>$N$70:$N$84</v>
      </c>
      <c r="BH8" s="2" t="str">
        <f t="shared" ref="BH8:BH23" si="19">IFERROR(VLOOKUP($C8,PlayerList,10,FALSE),"")</f>
        <v/>
      </c>
      <c r="BI8" s="8" t="str">
        <f t="shared" ref="BI8:BI23" si="20">IF(O8&lt;&gt;"",CONCATENATE(IF(BH8="None","",BH8&amp;", "),O8,IF(R8="","",", "),R8,IF(U8="","",", "),U8,IF(X8="","",", "),X8,IF(AA8="","",", "),AA8,IF(AD8="","",", "),AD8),BH8)</f>
        <v/>
      </c>
      <c r="BJ8" s="2">
        <f t="shared" ref="BJ8:BJ23" si="21">COUNTIF($N8:$AE8,$N$45)*20+COUNTIF($N8:$AE8,$N$46)*30</f>
        <v>0</v>
      </c>
      <c r="BK8" s="2">
        <f>IFERROR(VLOOKUP(O8,$N$50:$O$64,2,FALSE),0)+IFERROR(VLOOKUP(R8,$N$50:$O$64,2,FALSE),0)+IFERROR(VLOOKUP(U8,$N$50:$O$64,2,FALSE),0)+IFERROR(VLOOKUP(X8,$N$50:$O$64,2,FALSE),0)+IFERROR(VLOOKUP(AA8,$N$50:$O$64,2,FALSE),0)+IFERROR(VLOOKUP(AD8,$N$50:$O$64,2,FALSE),0)</f>
        <v>0</v>
      </c>
      <c r="BL8" s="2">
        <v>1</v>
      </c>
      <c r="BM8" s="2" t="e">
        <f t="shared" ref="BM8:BM25" si="22">IF(BL8&lt;=$BQ$4,CONCATENATE($BM$4,IF(BL8&lt;10,"0",""),BL8),"")</f>
        <v>#N/A</v>
      </c>
      <c r="BN8" s="2" t="str">
        <f t="shared" ref="BN8:BN22" si="23">IFERROR(VLOOKUP(BM8,PLAYERS,2,FALSE),"")</f>
        <v/>
      </c>
      <c r="BO8" s="2" t="str">
        <f t="shared" ref="BO8:BO23" si="24">IFERROR(VLOOKUP(BM8,PLAYERS,3,FALSE),"")</f>
        <v/>
      </c>
      <c r="BP8" s="2" t="str">
        <f t="shared" ref="BP8:BP22" si="25">IF(BN8&lt;&gt;"",VLOOKUP(BM8,PLAYERS,4,FALSE),"")</f>
        <v/>
      </c>
      <c r="BQ8" s="2" t="str">
        <f t="shared" ref="BQ8:BQ23" si="26">IF(BN8&lt;&gt;"",COUNTIF($C$8:$C$23,BN8),"")</f>
        <v/>
      </c>
      <c r="BR8" s="2" t="str">
        <f>IF(BP8="BG",BQ8,"")</f>
        <v/>
      </c>
      <c r="BS8" s="2" t="b">
        <f>IF(BQ8&gt;BO8,TRUE,FALSE)</f>
        <v>0</v>
      </c>
      <c r="BU8" s="2">
        <v>1</v>
      </c>
      <c r="BV8" s="8" t="e">
        <f t="shared" ref="BV8:BV25" si="27">IF(HLOOKUP($BV$4,STARS,$BL8+1,FALSE)="","",HLOOKUP($BV$4,STARS,$BL8+1,FALSE))</f>
        <v>#N/A</v>
      </c>
      <c r="BW8" s="8" t="e">
        <f>IF(IF(BV8&lt;&gt;"",COUNTIF($C$24:$C$25,BV8),0)&gt;1,TRUE,FALSE)</f>
        <v>#N/A</v>
      </c>
      <c r="BX8" s="8"/>
      <c r="BY8" s="8"/>
      <c r="BZ8" s="8"/>
      <c r="CA8" s="8"/>
      <c r="CB8" s="8"/>
      <c r="CC8" s="8"/>
      <c r="CD8" s="8"/>
      <c r="CE8" s="8"/>
      <c r="CF8" s="8"/>
      <c r="CG8" s="8"/>
      <c r="CH8" s="8"/>
      <c r="CI8" s="8"/>
      <c r="CJ8" s="8"/>
      <c r="CK8" s="8"/>
      <c r="CL8" s="8"/>
      <c r="CM8" s="8"/>
    </row>
    <row r="9" spans="1:91" s="2" customFormat="1" ht="30" customHeight="1" x14ac:dyDescent="0.25">
      <c r="A9" s="8"/>
      <c r="B9" s="9">
        <v>2</v>
      </c>
      <c r="C9" s="453"/>
      <c r="D9" s="454"/>
      <c r="E9" s="32" t="str">
        <f t="shared" si="0"/>
        <v/>
      </c>
      <c r="F9" s="32" t="str">
        <f t="shared" si="1"/>
        <v/>
      </c>
      <c r="G9" s="68" t="str">
        <f t="shared" si="2"/>
        <v/>
      </c>
      <c r="H9" s="68" t="str">
        <f t="shared" si="3"/>
        <v/>
      </c>
      <c r="I9" s="68" t="str">
        <f t="shared" si="4"/>
        <v/>
      </c>
      <c r="J9" s="33" t="str">
        <f t="shared" si="5"/>
        <v/>
      </c>
      <c r="K9" s="34" t="str">
        <f t="shared" si="6"/>
        <v/>
      </c>
      <c r="L9" s="120" t="str">
        <f t="shared" ref="L9:L23" si="28">IFERROR(K9+1000*(SUM(BJ9:BK9)),"")</f>
        <v/>
      </c>
      <c r="M9" s="42"/>
      <c r="N9" s="49" t="s">
        <v>26</v>
      </c>
      <c r="O9" s="52"/>
      <c r="P9" s="55">
        <f t="shared" si="7"/>
        <v>0</v>
      </c>
      <c r="Q9" s="49" t="s">
        <v>26</v>
      </c>
      <c r="R9" s="154"/>
      <c r="S9" s="150">
        <f t="shared" si="8"/>
        <v>0</v>
      </c>
      <c r="T9" s="136" t="s">
        <v>26</v>
      </c>
      <c r="U9" s="52"/>
      <c r="V9" s="55">
        <f t="shared" si="9"/>
        <v>0</v>
      </c>
      <c r="W9" s="49" t="s">
        <v>26</v>
      </c>
      <c r="X9" s="52"/>
      <c r="Y9" s="55">
        <f t="shared" si="10"/>
        <v>0</v>
      </c>
      <c r="Z9" s="49" t="s">
        <v>26</v>
      </c>
      <c r="AA9" s="52"/>
      <c r="AB9" s="55">
        <f t="shared" si="11"/>
        <v>0</v>
      </c>
      <c r="AC9" s="49" t="s">
        <v>26</v>
      </c>
      <c r="AD9" s="52"/>
      <c r="AE9" s="55">
        <f t="shared" si="12"/>
        <v>0</v>
      </c>
      <c r="AF9" s="8"/>
      <c r="AG9" s="74"/>
      <c r="AH9" s="75"/>
      <c r="AI9" s="75"/>
      <c r="AJ9" s="75"/>
      <c r="AK9" s="76"/>
      <c r="AL9" s="8"/>
      <c r="AM9" s="2">
        <f t="shared" ref="AM9:AM23" si="29">COUNTIF($N9:$AE9,$N$52)</f>
        <v>0</v>
      </c>
      <c r="AN9" s="2">
        <f t="shared" ref="AN9:AN23" si="30">COUNTIF($N9:$AE9,$N$55)</f>
        <v>0</v>
      </c>
      <c r="AO9" s="2">
        <f t="shared" ref="AO9:AO23" si="31">COUNTIF($N9:$AE9,$N$54)</f>
        <v>0</v>
      </c>
      <c r="AP9" s="2">
        <f t="shared" ref="AP9:AP23" si="32">COUNTIF($N9:$AE9,$N$53)</f>
        <v>0</v>
      </c>
      <c r="AQ9" s="2">
        <f t="shared" ref="AQ9:AQ23" si="33">COUNTIF($N9:$AE9,$N$51)</f>
        <v>0</v>
      </c>
      <c r="AR9" s="8" t="str">
        <f>IFERROR(VLOOKUP($C9,PlayerList,11,FALSE),"")</f>
        <v/>
      </c>
      <c r="AS9" s="8" t="str">
        <f t="shared" si="13"/>
        <v/>
      </c>
      <c r="AT9" s="2" t="str">
        <f t="shared" ref="AT9:AT23" si="34">HLOOKUP(N9,$BB$7:$BG$23,ROW()-6,FALSE)</f>
        <v>$O$66</v>
      </c>
      <c r="AU9" s="2" t="str">
        <f t="shared" si="14"/>
        <v>$O$66</v>
      </c>
      <c r="AV9" s="2" t="str">
        <f t="shared" si="15"/>
        <v>$O$66</v>
      </c>
      <c r="AW9" s="2" t="str">
        <f t="shared" si="16"/>
        <v>$O$66</v>
      </c>
      <c r="AX9" s="2" t="str">
        <f t="shared" si="17"/>
        <v>$O$66</v>
      </c>
      <c r="AY9" s="2" t="str">
        <f t="shared" si="18"/>
        <v>$O$66</v>
      </c>
      <c r="BB9" s="2" t="str">
        <f t="shared" ref="BB9:BB23" si="35">$N$66</f>
        <v>$O$66</v>
      </c>
      <c r="BC9" s="8"/>
      <c r="BD9" s="8" t="e">
        <f t="shared" ref="BD9:BD23" si="36">HLOOKUP(AR9,$AM$68:$BH$69,2,FALSE)</f>
        <v>#N/A</v>
      </c>
      <c r="BE9" s="8"/>
      <c r="BF9" s="2" t="e">
        <f t="shared" ref="BF9:BF23" si="37">HLOOKUP(AS9,$AM$68:$BH$69,2,FALSE)</f>
        <v>#N/A</v>
      </c>
      <c r="BG9" s="2" t="str">
        <f t="shared" ref="BG9:BG23" si="38">$N$69</f>
        <v>$N$70:$N$84</v>
      </c>
      <c r="BH9" s="2" t="str">
        <f t="shared" si="19"/>
        <v/>
      </c>
      <c r="BI9" s="8" t="str">
        <f t="shared" si="20"/>
        <v/>
      </c>
      <c r="BJ9" s="2">
        <f t="shared" si="21"/>
        <v>0</v>
      </c>
      <c r="BK9" s="2">
        <f t="shared" ref="BK9:BK23" si="39">IFERROR(VLOOKUP(O9,$N$50:$O$64,2,FALSE),0)+IFERROR(VLOOKUP(R9,$N$50:$O$64,2,FALSE),0)+IFERROR(VLOOKUP(U9,$N$50:$O$64,2,FALSE),0)+IFERROR(VLOOKUP(X9,$N$50:$O$64,2,FALSE),0)+IFERROR(VLOOKUP(AA9,$N$50:$O$64,2,FALSE),0)+IFERROR(VLOOKUP(AD9,$N$50:$O$64,2,FALSE),0)</f>
        <v>0</v>
      </c>
      <c r="BL9" s="2">
        <v>2</v>
      </c>
      <c r="BM9" s="2" t="e">
        <f t="shared" si="22"/>
        <v>#N/A</v>
      </c>
      <c r="BN9" s="2" t="str">
        <f t="shared" si="23"/>
        <v/>
      </c>
      <c r="BO9" s="2" t="str">
        <f t="shared" si="24"/>
        <v/>
      </c>
      <c r="BP9" s="2" t="str">
        <f t="shared" si="25"/>
        <v/>
      </c>
      <c r="BQ9" s="2" t="str">
        <f t="shared" si="26"/>
        <v/>
      </c>
      <c r="BR9" s="2" t="str">
        <f t="shared" ref="BR9:BR21" si="40">IF(BP9="BG",BQ9,"")</f>
        <v/>
      </c>
      <c r="BS9" s="2" t="b">
        <f t="shared" ref="BS9:BS18" si="41">IF(BQ9&gt;BO9,TRUE,FALSE)</f>
        <v>0</v>
      </c>
      <c r="BU9" s="2">
        <v>2</v>
      </c>
      <c r="BV9" s="8" t="e">
        <f t="shared" si="27"/>
        <v>#N/A</v>
      </c>
      <c r="BW9" s="8" t="e">
        <f t="shared" ref="BW9:BW25" si="42">IF(IF(BV9&lt;&gt;"",COUNTIF($C$24:$C$25,BV9),0)&gt;1,TRUE,FALSE)</f>
        <v>#N/A</v>
      </c>
      <c r="BX9" s="8"/>
      <c r="BY9" s="8"/>
      <c r="BZ9" s="8"/>
      <c r="CA9" s="8"/>
      <c r="CB9" s="8"/>
      <c r="CC9" s="8"/>
      <c r="CD9" s="8"/>
      <c r="CE9" s="8"/>
      <c r="CF9" s="8"/>
      <c r="CG9" s="8"/>
      <c r="CH9" s="8"/>
      <c r="CI9" s="8"/>
      <c r="CJ9" s="8"/>
      <c r="CK9" s="8"/>
      <c r="CL9" s="8"/>
      <c r="CM9" s="8"/>
    </row>
    <row r="10" spans="1:91" s="2" customFormat="1" ht="30" customHeight="1" x14ac:dyDescent="0.25">
      <c r="A10" s="8"/>
      <c r="B10" s="9">
        <v>3</v>
      </c>
      <c r="C10" s="453"/>
      <c r="D10" s="454"/>
      <c r="E10" s="32" t="str">
        <f t="shared" si="0"/>
        <v/>
      </c>
      <c r="F10" s="32" t="str">
        <f t="shared" si="1"/>
        <v/>
      </c>
      <c r="G10" s="68" t="str">
        <f t="shared" si="2"/>
        <v/>
      </c>
      <c r="H10" s="68" t="str">
        <f t="shared" si="3"/>
        <v/>
      </c>
      <c r="I10" s="68" t="str">
        <f t="shared" si="4"/>
        <v/>
      </c>
      <c r="J10" s="33" t="str">
        <f t="shared" si="5"/>
        <v/>
      </c>
      <c r="K10" s="34" t="str">
        <f t="shared" si="6"/>
        <v/>
      </c>
      <c r="L10" s="120" t="str">
        <f t="shared" si="28"/>
        <v/>
      </c>
      <c r="M10" s="42"/>
      <c r="N10" s="49" t="s">
        <v>26</v>
      </c>
      <c r="O10" s="52"/>
      <c r="P10" s="55">
        <f t="shared" si="7"/>
        <v>0</v>
      </c>
      <c r="Q10" s="49" t="s">
        <v>26</v>
      </c>
      <c r="R10" s="154"/>
      <c r="S10" s="150">
        <f t="shared" si="8"/>
        <v>0</v>
      </c>
      <c r="T10" s="136" t="s">
        <v>26</v>
      </c>
      <c r="U10" s="52"/>
      <c r="V10" s="55">
        <f t="shared" si="9"/>
        <v>0</v>
      </c>
      <c r="W10" s="49" t="s">
        <v>26</v>
      </c>
      <c r="X10" s="52"/>
      <c r="Y10" s="55">
        <f t="shared" si="10"/>
        <v>0</v>
      </c>
      <c r="Z10" s="49" t="s">
        <v>26</v>
      </c>
      <c r="AA10" s="52"/>
      <c r="AB10" s="55">
        <f t="shared" si="11"/>
        <v>0</v>
      </c>
      <c r="AC10" s="49" t="s">
        <v>26</v>
      </c>
      <c r="AD10" s="52"/>
      <c r="AE10" s="55">
        <f t="shared" si="12"/>
        <v>0</v>
      </c>
      <c r="AF10" s="8"/>
      <c r="AG10" s="74"/>
      <c r="AH10" s="75"/>
      <c r="AI10" s="75"/>
      <c r="AJ10" s="75"/>
      <c r="AK10" s="76"/>
      <c r="AL10" s="8"/>
      <c r="AM10" s="2">
        <f t="shared" si="29"/>
        <v>0</v>
      </c>
      <c r="AN10" s="2">
        <f t="shared" si="30"/>
        <v>0</v>
      </c>
      <c r="AO10" s="2">
        <f t="shared" si="31"/>
        <v>0</v>
      </c>
      <c r="AP10" s="2">
        <f t="shared" si="32"/>
        <v>0</v>
      </c>
      <c r="AQ10" s="2">
        <f t="shared" si="33"/>
        <v>0</v>
      </c>
      <c r="AR10" s="8" t="str">
        <f>IFERROR(VLOOKUP($C10,PlayerList,11,FALSE),"")</f>
        <v/>
      </c>
      <c r="AS10" s="8" t="str">
        <f t="shared" si="13"/>
        <v/>
      </c>
      <c r="AT10" s="2" t="str">
        <f t="shared" si="34"/>
        <v>$O$66</v>
      </c>
      <c r="AU10" s="2" t="str">
        <f t="shared" si="14"/>
        <v>$O$66</v>
      </c>
      <c r="AV10" s="2" t="str">
        <f t="shared" si="15"/>
        <v>$O$66</v>
      </c>
      <c r="AW10" s="2" t="str">
        <f t="shared" si="16"/>
        <v>$O$66</v>
      </c>
      <c r="AX10" s="2" t="str">
        <f t="shared" si="17"/>
        <v>$O$66</v>
      </c>
      <c r="AY10" s="2" t="str">
        <f t="shared" si="18"/>
        <v>$O$66</v>
      </c>
      <c r="BB10" s="2" t="str">
        <f t="shared" si="35"/>
        <v>$O$66</v>
      </c>
      <c r="BC10" s="8"/>
      <c r="BD10" s="8" t="e">
        <f t="shared" si="36"/>
        <v>#N/A</v>
      </c>
      <c r="BE10" s="8"/>
      <c r="BF10" s="2" t="e">
        <f t="shared" si="37"/>
        <v>#N/A</v>
      </c>
      <c r="BG10" s="2" t="str">
        <f t="shared" si="38"/>
        <v>$N$70:$N$84</v>
      </c>
      <c r="BH10" s="2" t="str">
        <f t="shared" si="19"/>
        <v/>
      </c>
      <c r="BI10" s="8" t="str">
        <f t="shared" si="20"/>
        <v/>
      </c>
      <c r="BJ10" s="2">
        <f t="shared" si="21"/>
        <v>0</v>
      </c>
      <c r="BK10" s="2">
        <f t="shared" si="39"/>
        <v>0</v>
      </c>
      <c r="BL10" s="2">
        <v>3</v>
      </c>
      <c r="BM10" s="2" t="e">
        <f>IF(BL10&lt;=$BQ$4,CONCATENATE($BM$4,IF(BL10&lt;10,"0",""),BL10),"")</f>
        <v>#N/A</v>
      </c>
      <c r="BN10" s="2" t="str">
        <f>IFERROR(VLOOKUP(BM10,PLAYERS,2,FALSE),"")</f>
        <v/>
      </c>
      <c r="BO10" s="2" t="str">
        <f t="shared" si="24"/>
        <v/>
      </c>
      <c r="BP10" s="2" t="str">
        <f t="shared" si="25"/>
        <v/>
      </c>
      <c r="BQ10" s="2" t="str">
        <f t="shared" si="26"/>
        <v/>
      </c>
      <c r="BR10" s="2" t="str">
        <f t="shared" si="40"/>
        <v/>
      </c>
      <c r="BS10" s="2" t="b">
        <f t="shared" si="41"/>
        <v>0</v>
      </c>
      <c r="BU10" s="2">
        <v>3</v>
      </c>
      <c r="BV10" s="8" t="e">
        <f t="shared" si="27"/>
        <v>#N/A</v>
      </c>
      <c r="BW10" s="8" t="e">
        <f t="shared" si="42"/>
        <v>#N/A</v>
      </c>
      <c r="BX10" s="8"/>
      <c r="BY10" s="8"/>
      <c r="BZ10" s="8"/>
      <c r="CA10" s="8"/>
      <c r="CB10" s="8"/>
      <c r="CC10" s="8"/>
      <c r="CD10" s="8"/>
      <c r="CE10" s="8"/>
      <c r="CF10" s="8"/>
      <c r="CG10" s="8"/>
      <c r="CH10" s="8"/>
      <c r="CI10" s="8"/>
      <c r="CJ10" s="8"/>
      <c r="CK10" s="8"/>
      <c r="CL10" s="8"/>
      <c r="CM10" s="8"/>
    </row>
    <row r="11" spans="1:91" s="2" customFormat="1" ht="30" customHeight="1" x14ac:dyDescent="0.25">
      <c r="A11" s="8"/>
      <c r="B11" s="9">
        <v>4</v>
      </c>
      <c r="C11" s="453"/>
      <c r="D11" s="454"/>
      <c r="E11" s="32" t="str">
        <f t="shared" si="0"/>
        <v/>
      </c>
      <c r="F11" s="32" t="str">
        <f t="shared" si="1"/>
        <v/>
      </c>
      <c r="G11" s="68" t="str">
        <f t="shared" si="2"/>
        <v/>
      </c>
      <c r="H11" s="68" t="str">
        <f t="shared" si="3"/>
        <v/>
      </c>
      <c r="I11" s="68" t="str">
        <f t="shared" si="4"/>
        <v/>
      </c>
      <c r="J11" s="33" t="str">
        <f>IF(O11&lt;&gt;"",CONCATENATE(IF(BH11="None","",BH11&amp;", "),O11,IF(R11="","",", "),R11,IF(U11="","",", "),U11,IF(X11="","",", "),X11,IF(AA11="","",", "),AA11,IF(AD11="","",", "),AD11),BH11)</f>
        <v/>
      </c>
      <c r="K11" s="34" t="str">
        <f t="shared" si="6"/>
        <v/>
      </c>
      <c r="L11" s="120" t="str">
        <f t="shared" si="28"/>
        <v/>
      </c>
      <c r="M11" s="42"/>
      <c r="N11" s="49" t="s">
        <v>26</v>
      </c>
      <c r="O11" s="52"/>
      <c r="P11" s="55">
        <f t="shared" si="7"/>
        <v>0</v>
      </c>
      <c r="Q11" s="49" t="s">
        <v>26</v>
      </c>
      <c r="R11" s="154"/>
      <c r="S11" s="150">
        <f t="shared" si="8"/>
        <v>0</v>
      </c>
      <c r="T11" s="136" t="s">
        <v>26</v>
      </c>
      <c r="U11" s="52"/>
      <c r="V11" s="55">
        <f t="shared" si="9"/>
        <v>0</v>
      </c>
      <c r="W11" s="49" t="s">
        <v>26</v>
      </c>
      <c r="X11" s="52"/>
      <c r="Y11" s="55">
        <f t="shared" si="10"/>
        <v>0</v>
      </c>
      <c r="Z11" s="49" t="s">
        <v>26</v>
      </c>
      <c r="AA11" s="52"/>
      <c r="AB11" s="55">
        <f t="shared" si="11"/>
        <v>0</v>
      </c>
      <c r="AC11" s="49" t="s">
        <v>26</v>
      </c>
      <c r="AD11" s="52"/>
      <c r="AE11" s="55">
        <f t="shared" si="12"/>
        <v>0</v>
      </c>
      <c r="AF11" s="8"/>
      <c r="AG11" s="74"/>
      <c r="AH11" s="75"/>
      <c r="AI11" s="75"/>
      <c r="AJ11" s="75"/>
      <c r="AK11" s="76"/>
      <c r="AL11" s="8"/>
      <c r="AM11" s="2">
        <f t="shared" si="29"/>
        <v>0</v>
      </c>
      <c r="AN11" s="2">
        <f t="shared" si="30"/>
        <v>0</v>
      </c>
      <c r="AO11" s="2">
        <f t="shared" si="31"/>
        <v>0</v>
      </c>
      <c r="AP11" s="2">
        <f t="shared" si="32"/>
        <v>0</v>
      </c>
      <c r="AQ11" s="2">
        <f t="shared" si="33"/>
        <v>0</v>
      </c>
      <c r="AR11" s="8" t="str">
        <f t="shared" ref="AR11:AR23" si="43">IFERROR(VLOOKUP($C11,PlayerList,11,FALSE),"")</f>
        <v/>
      </c>
      <c r="AS11" s="8" t="str">
        <f t="shared" si="13"/>
        <v/>
      </c>
      <c r="AT11" s="2" t="str">
        <f t="shared" si="34"/>
        <v>$O$66</v>
      </c>
      <c r="AU11" s="2" t="str">
        <f t="shared" si="14"/>
        <v>$O$66</v>
      </c>
      <c r="AV11" s="2" t="str">
        <f t="shared" si="15"/>
        <v>$O$66</v>
      </c>
      <c r="AW11" s="2" t="str">
        <f t="shared" si="16"/>
        <v>$O$66</v>
      </c>
      <c r="AX11" s="2" t="str">
        <f t="shared" si="17"/>
        <v>$O$66</v>
      </c>
      <c r="AY11" s="2" t="str">
        <f t="shared" si="18"/>
        <v>$O$66</v>
      </c>
      <c r="BB11" s="2" t="str">
        <f t="shared" si="35"/>
        <v>$O$66</v>
      </c>
      <c r="BC11" s="8"/>
      <c r="BD11" s="8" t="e">
        <f t="shared" si="36"/>
        <v>#N/A</v>
      </c>
      <c r="BE11" s="8"/>
      <c r="BF11" s="2" t="e">
        <f t="shared" si="37"/>
        <v>#N/A</v>
      </c>
      <c r="BG11" s="2" t="str">
        <f t="shared" si="38"/>
        <v>$N$70:$N$84</v>
      </c>
      <c r="BH11" s="2" t="str">
        <f t="shared" si="19"/>
        <v/>
      </c>
      <c r="BI11" s="8" t="str">
        <f t="shared" si="20"/>
        <v/>
      </c>
      <c r="BJ11" s="2">
        <f t="shared" si="21"/>
        <v>0</v>
      </c>
      <c r="BK11" s="2">
        <f t="shared" si="39"/>
        <v>0</v>
      </c>
      <c r="BL11" s="2">
        <v>4</v>
      </c>
      <c r="BM11" s="2" t="e">
        <f t="shared" si="22"/>
        <v>#N/A</v>
      </c>
      <c r="BN11" s="2" t="str">
        <f t="shared" si="23"/>
        <v/>
      </c>
      <c r="BO11" s="2" t="str">
        <f t="shared" si="24"/>
        <v/>
      </c>
      <c r="BP11" s="2" t="str">
        <f t="shared" si="25"/>
        <v/>
      </c>
      <c r="BQ11" s="2" t="str">
        <f t="shared" si="26"/>
        <v/>
      </c>
      <c r="BR11" s="2" t="str">
        <f t="shared" si="40"/>
        <v/>
      </c>
      <c r="BS11" s="2" t="b">
        <f t="shared" si="41"/>
        <v>0</v>
      </c>
      <c r="BU11" s="2">
        <v>4</v>
      </c>
      <c r="BV11" s="8" t="e">
        <f t="shared" si="27"/>
        <v>#N/A</v>
      </c>
      <c r="BW11" s="8" t="e">
        <f t="shared" si="42"/>
        <v>#N/A</v>
      </c>
      <c r="BX11" s="8"/>
      <c r="BY11" s="8"/>
      <c r="BZ11" s="8"/>
      <c r="CA11" s="8"/>
      <c r="CB11" s="8"/>
      <c r="CC11" s="8"/>
      <c r="CD11" s="8"/>
      <c r="CE11" s="8"/>
      <c r="CF11" s="8"/>
      <c r="CG11" s="8"/>
      <c r="CH11" s="8"/>
      <c r="CI11" s="8"/>
      <c r="CJ11" s="8"/>
      <c r="CK11" s="8"/>
      <c r="CL11" s="8"/>
      <c r="CM11" s="8"/>
    </row>
    <row r="12" spans="1:91" s="2" customFormat="1" ht="30" customHeight="1" x14ac:dyDescent="0.25">
      <c r="A12" s="8"/>
      <c r="B12" s="9">
        <v>5</v>
      </c>
      <c r="C12" s="453"/>
      <c r="D12" s="454"/>
      <c r="E12" s="32" t="str">
        <f t="shared" si="0"/>
        <v/>
      </c>
      <c r="F12" s="32" t="str">
        <f t="shared" si="1"/>
        <v/>
      </c>
      <c r="G12" s="68" t="str">
        <f t="shared" si="2"/>
        <v/>
      </c>
      <c r="H12" s="68" t="str">
        <f t="shared" si="3"/>
        <v/>
      </c>
      <c r="I12" s="68" t="str">
        <f t="shared" si="4"/>
        <v/>
      </c>
      <c r="J12" s="33" t="str">
        <f t="shared" si="5"/>
        <v/>
      </c>
      <c r="K12" s="34" t="str">
        <f t="shared" si="6"/>
        <v/>
      </c>
      <c r="L12" s="120" t="str">
        <f t="shared" si="28"/>
        <v/>
      </c>
      <c r="M12" s="42"/>
      <c r="N12" s="49" t="s">
        <v>26</v>
      </c>
      <c r="O12" s="52"/>
      <c r="P12" s="55">
        <f t="shared" si="7"/>
        <v>0</v>
      </c>
      <c r="Q12" s="49" t="s">
        <v>26</v>
      </c>
      <c r="R12" s="154"/>
      <c r="S12" s="150">
        <f t="shared" si="8"/>
        <v>0</v>
      </c>
      <c r="T12" s="136" t="s">
        <v>26</v>
      </c>
      <c r="U12" s="52"/>
      <c r="V12" s="55">
        <f t="shared" si="9"/>
        <v>0</v>
      </c>
      <c r="W12" s="49" t="s">
        <v>26</v>
      </c>
      <c r="X12" s="52"/>
      <c r="Y12" s="55">
        <f t="shared" si="10"/>
        <v>0</v>
      </c>
      <c r="Z12" s="49" t="s">
        <v>26</v>
      </c>
      <c r="AA12" s="52"/>
      <c r="AB12" s="55">
        <f t="shared" si="11"/>
        <v>0</v>
      </c>
      <c r="AC12" s="49" t="s">
        <v>26</v>
      </c>
      <c r="AD12" s="52"/>
      <c r="AE12" s="55">
        <f t="shared" si="12"/>
        <v>0</v>
      </c>
      <c r="AF12" s="8"/>
      <c r="AG12" s="74"/>
      <c r="AH12" s="75"/>
      <c r="AI12" s="75"/>
      <c r="AJ12" s="75"/>
      <c r="AK12" s="76"/>
      <c r="AL12" s="8"/>
      <c r="AM12" s="2">
        <f t="shared" si="29"/>
        <v>0</v>
      </c>
      <c r="AN12" s="2">
        <f t="shared" si="30"/>
        <v>0</v>
      </c>
      <c r="AO12" s="2">
        <f t="shared" si="31"/>
        <v>0</v>
      </c>
      <c r="AP12" s="2">
        <f t="shared" si="32"/>
        <v>0</v>
      </c>
      <c r="AQ12" s="2">
        <f t="shared" si="33"/>
        <v>0</v>
      </c>
      <c r="AR12" s="8" t="str">
        <f t="shared" si="43"/>
        <v/>
      </c>
      <c r="AS12" s="8" t="str">
        <f t="shared" si="13"/>
        <v/>
      </c>
      <c r="AT12" s="2" t="str">
        <f t="shared" si="34"/>
        <v>$O$66</v>
      </c>
      <c r="AU12" s="2" t="str">
        <f t="shared" si="14"/>
        <v>$O$66</v>
      </c>
      <c r="AV12" s="2" t="str">
        <f t="shared" si="15"/>
        <v>$O$66</v>
      </c>
      <c r="AW12" s="2" t="str">
        <f t="shared" si="16"/>
        <v>$O$66</v>
      </c>
      <c r="AX12" s="2" t="str">
        <f t="shared" si="17"/>
        <v>$O$66</v>
      </c>
      <c r="AY12" s="2" t="str">
        <f t="shared" si="18"/>
        <v>$O$66</v>
      </c>
      <c r="BB12" s="2" t="str">
        <f t="shared" si="35"/>
        <v>$O$66</v>
      </c>
      <c r="BC12" s="8"/>
      <c r="BD12" s="8" t="e">
        <f t="shared" si="36"/>
        <v>#N/A</v>
      </c>
      <c r="BE12" s="8"/>
      <c r="BF12" s="2" t="e">
        <f t="shared" si="37"/>
        <v>#N/A</v>
      </c>
      <c r="BG12" s="2" t="str">
        <f t="shared" si="38"/>
        <v>$N$70:$N$84</v>
      </c>
      <c r="BH12" s="2" t="str">
        <f t="shared" si="19"/>
        <v/>
      </c>
      <c r="BI12" s="8" t="str">
        <f t="shared" si="20"/>
        <v/>
      </c>
      <c r="BJ12" s="2">
        <f t="shared" si="21"/>
        <v>0</v>
      </c>
      <c r="BK12" s="2">
        <f t="shared" si="39"/>
        <v>0</v>
      </c>
      <c r="BL12" s="2">
        <v>5</v>
      </c>
      <c r="BM12" s="2" t="e">
        <f t="shared" si="22"/>
        <v>#N/A</v>
      </c>
      <c r="BN12" s="2" t="str">
        <f t="shared" si="23"/>
        <v/>
      </c>
      <c r="BO12" s="2" t="str">
        <f t="shared" si="24"/>
        <v/>
      </c>
      <c r="BP12" s="2" t="str">
        <f t="shared" si="25"/>
        <v/>
      </c>
      <c r="BQ12" s="2" t="str">
        <f t="shared" si="26"/>
        <v/>
      </c>
      <c r="BR12" s="2" t="str">
        <f t="shared" si="40"/>
        <v/>
      </c>
      <c r="BS12" s="2" t="b">
        <f t="shared" si="41"/>
        <v>0</v>
      </c>
      <c r="BU12" s="2">
        <v>5</v>
      </c>
      <c r="BV12" s="8" t="e">
        <f t="shared" si="27"/>
        <v>#N/A</v>
      </c>
      <c r="BW12" s="8" t="e">
        <f t="shared" si="42"/>
        <v>#N/A</v>
      </c>
      <c r="BX12" s="8"/>
      <c r="BY12" s="8"/>
      <c r="BZ12" s="8"/>
      <c r="CA12" s="8"/>
      <c r="CB12" s="8"/>
      <c r="CC12" s="8"/>
      <c r="CD12" s="8"/>
      <c r="CE12" s="8"/>
      <c r="CF12" s="8"/>
      <c r="CG12" s="8"/>
      <c r="CH12" s="8"/>
      <c r="CI12" s="8"/>
      <c r="CJ12" s="8"/>
      <c r="CK12" s="8"/>
      <c r="CL12" s="8"/>
      <c r="CM12" s="8"/>
    </row>
    <row r="13" spans="1:91" s="2" customFormat="1" ht="30" customHeight="1" x14ac:dyDescent="0.25">
      <c r="A13" s="8"/>
      <c r="B13" s="9">
        <v>6</v>
      </c>
      <c r="C13" s="453"/>
      <c r="D13" s="454"/>
      <c r="E13" s="32" t="str">
        <f t="shared" si="0"/>
        <v/>
      </c>
      <c r="F13" s="32" t="str">
        <f t="shared" si="1"/>
        <v/>
      </c>
      <c r="G13" s="68" t="str">
        <f t="shared" si="2"/>
        <v/>
      </c>
      <c r="H13" s="68" t="str">
        <f t="shared" si="3"/>
        <v/>
      </c>
      <c r="I13" s="68" t="str">
        <f t="shared" si="4"/>
        <v/>
      </c>
      <c r="J13" s="33" t="str">
        <f t="shared" si="5"/>
        <v/>
      </c>
      <c r="K13" s="34" t="str">
        <f t="shared" si="6"/>
        <v/>
      </c>
      <c r="L13" s="120" t="str">
        <f t="shared" si="28"/>
        <v/>
      </c>
      <c r="M13" s="42"/>
      <c r="N13" s="49" t="s">
        <v>26</v>
      </c>
      <c r="O13" s="52"/>
      <c r="P13" s="55">
        <f t="shared" si="7"/>
        <v>0</v>
      </c>
      <c r="Q13" s="49" t="s">
        <v>26</v>
      </c>
      <c r="R13" s="154"/>
      <c r="S13" s="150">
        <f t="shared" si="8"/>
        <v>0</v>
      </c>
      <c r="T13" s="136" t="s">
        <v>26</v>
      </c>
      <c r="U13" s="52"/>
      <c r="V13" s="55">
        <f t="shared" si="9"/>
        <v>0</v>
      </c>
      <c r="W13" s="49" t="s">
        <v>26</v>
      </c>
      <c r="X13" s="52"/>
      <c r="Y13" s="55">
        <f t="shared" si="10"/>
        <v>0</v>
      </c>
      <c r="Z13" s="49" t="s">
        <v>26</v>
      </c>
      <c r="AA13" s="52"/>
      <c r="AB13" s="55">
        <f t="shared" si="11"/>
        <v>0</v>
      </c>
      <c r="AC13" s="49" t="s">
        <v>26</v>
      </c>
      <c r="AD13" s="52"/>
      <c r="AE13" s="55">
        <f t="shared" si="12"/>
        <v>0</v>
      </c>
      <c r="AF13" s="8"/>
      <c r="AG13" s="74"/>
      <c r="AH13" s="75"/>
      <c r="AI13" s="75"/>
      <c r="AJ13" s="75"/>
      <c r="AK13" s="76"/>
      <c r="AL13" s="8"/>
      <c r="AM13" s="2">
        <f t="shared" si="29"/>
        <v>0</v>
      </c>
      <c r="AN13" s="2">
        <f t="shared" si="30"/>
        <v>0</v>
      </c>
      <c r="AO13" s="2">
        <f t="shared" si="31"/>
        <v>0</v>
      </c>
      <c r="AP13" s="2">
        <f t="shared" si="32"/>
        <v>0</v>
      </c>
      <c r="AQ13" s="2">
        <f t="shared" si="33"/>
        <v>0</v>
      </c>
      <c r="AR13" s="8" t="str">
        <f t="shared" si="43"/>
        <v/>
      </c>
      <c r="AS13" s="8" t="str">
        <f t="shared" si="13"/>
        <v/>
      </c>
      <c r="AT13" s="2" t="str">
        <f t="shared" si="34"/>
        <v>$O$66</v>
      </c>
      <c r="AU13" s="2" t="str">
        <f t="shared" si="14"/>
        <v>$O$66</v>
      </c>
      <c r="AV13" s="2" t="str">
        <f t="shared" si="15"/>
        <v>$O$66</v>
      </c>
      <c r="AW13" s="2" t="str">
        <f t="shared" si="16"/>
        <v>$O$66</v>
      </c>
      <c r="AX13" s="2" t="str">
        <f t="shared" si="17"/>
        <v>$O$66</v>
      </c>
      <c r="AY13" s="2" t="str">
        <f t="shared" si="18"/>
        <v>$O$66</v>
      </c>
      <c r="BB13" s="2" t="str">
        <f t="shared" si="35"/>
        <v>$O$66</v>
      </c>
      <c r="BC13" s="8"/>
      <c r="BD13" s="8" t="e">
        <f t="shared" si="36"/>
        <v>#N/A</v>
      </c>
      <c r="BE13" s="8"/>
      <c r="BF13" s="2" t="e">
        <f t="shared" si="37"/>
        <v>#N/A</v>
      </c>
      <c r="BG13" s="2" t="str">
        <f t="shared" si="38"/>
        <v>$N$70:$N$84</v>
      </c>
      <c r="BH13" s="2" t="str">
        <f t="shared" si="19"/>
        <v/>
      </c>
      <c r="BI13" s="8" t="str">
        <f t="shared" si="20"/>
        <v/>
      </c>
      <c r="BJ13" s="2">
        <f t="shared" si="21"/>
        <v>0</v>
      </c>
      <c r="BK13" s="2">
        <f t="shared" si="39"/>
        <v>0</v>
      </c>
      <c r="BL13" s="2">
        <v>6</v>
      </c>
      <c r="BM13" s="2" t="e">
        <f t="shared" si="22"/>
        <v>#N/A</v>
      </c>
      <c r="BN13" s="2" t="str">
        <f t="shared" si="23"/>
        <v/>
      </c>
      <c r="BO13" s="2" t="str">
        <f t="shared" si="24"/>
        <v/>
      </c>
      <c r="BP13" s="2" t="str">
        <f t="shared" si="25"/>
        <v/>
      </c>
      <c r="BQ13" s="2" t="str">
        <f t="shared" si="26"/>
        <v/>
      </c>
      <c r="BR13" s="2" t="str">
        <f t="shared" si="40"/>
        <v/>
      </c>
      <c r="BS13" s="2" t="b">
        <f t="shared" si="41"/>
        <v>0</v>
      </c>
      <c r="BU13" s="2">
        <v>6</v>
      </c>
      <c r="BV13" s="8" t="e">
        <f t="shared" si="27"/>
        <v>#N/A</v>
      </c>
      <c r="BW13" s="8" t="e">
        <f t="shared" si="42"/>
        <v>#N/A</v>
      </c>
      <c r="BX13" s="8"/>
      <c r="BY13" s="8"/>
      <c r="BZ13" s="8"/>
      <c r="CA13" s="8"/>
      <c r="CB13" s="8"/>
      <c r="CC13" s="8"/>
      <c r="CD13" s="8"/>
      <c r="CE13" s="8"/>
      <c r="CF13" s="8"/>
      <c r="CG13" s="8"/>
      <c r="CH13" s="8"/>
      <c r="CI13" s="8"/>
      <c r="CJ13" s="8"/>
      <c r="CK13" s="8"/>
      <c r="CL13" s="8"/>
      <c r="CM13" s="8"/>
    </row>
    <row r="14" spans="1:91" s="2" customFormat="1" ht="30" customHeight="1" x14ac:dyDescent="0.25">
      <c r="A14" s="8"/>
      <c r="B14" s="9">
        <v>7</v>
      </c>
      <c r="C14" s="453"/>
      <c r="D14" s="454"/>
      <c r="E14" s="32" t="str">
        <f t="shared" si="0"/>
        <v/>
      </c>
      <c r="F14" s="32" t="str">
        <f t="shared" si="1"/>
        <v/>
      </c>
      <c r="G14" s="68" t="str">
        <f t="shared" si="2"/>
        <v/>
      </c>
      <c r="H14" s="68" t="str">
        <f t="shared" si="3"/>
        <v/>
      </c>
      <c r="I14" s="68" t="str">
        <f t="shared" si="4"/>
        <v/>
      </c>
      <c r="J14" s="33" t="str">
        <f t="shared" si="5"/>
        <v/>
      </c>
      <c r="K14" s="34" t="str">
        <f t="shared" si="6"/>
        <v/>
      </c>
      <c r="L14" s="120" t="str">
        <f t="shared" si="28"/>
        <v/>
      </c>
      <c r="M14" s="43"/>
      <c r="N14" s="49" t="s">
        <v>26</v>
      </c>
      <c r="O14" s="52"/>
      <c r="P14" s="55">
        <f t="shared" si="7"/>
        <v>0</v>
      </c>
      <c r="Q14" s="49" t="s">
        <v>26</v>
      </c>
      <c r="R14" s="154"/>
      <c r="S14" s="150">
        <f t="shared" si="8"/>
        <v>0</v>
      </c>
      <c r="T14" s="136" t="s">
        <v>26</v>
      </c>
      <c r="U14" s="52"/>
      <c r="V14" s="55">
        <f t="shared" si="9"/>
        <v>0</v>
      </c>
      <c r="W14" s="49" t="s">
        <v>26</v>
      </c>
      <c r="X14" s="52"/>
      <c r="Y14" s="55">
        <f t="shared" si="10"/>
        <v>0</v>
      </c>
      <c r="Z14" s="49" t="s">
        <v>26</v>
      </c>
      <c r="AA14" s="52"/>
      <c r="AB14" s="55">
        <f t="shared" si="11"/>
        <v>0</v>
      </c>
      <c r="AC14" s="49" t="s">
        <v>26</v>
      </c>
      <c r="AD14" s="52"/>
      <c r="AE14" s="55">
        <f t="shared" si="12"/>
        <v>0</v>
      </c>
      <c r="AF14" s="8"/>
      <c r="AG14" s="74"/>
      <c r="AH14" s="75"/>
      <c r="AI14" s="75"/>
      <c r="AJ14" s="75"/>
      <c r="AK14" s="76"/>
      <c r="AL14" s="8"/>
      <c r="AM14" s="2">
        <f t="shared" si="29"/>
        <v>0</v>
      </c>
      <c r="AN14" s="2">
        <f t="shared" si="30"/>
        <v>0</v>
      </c>
      <c r="AO14" s="2">
        <f t="shared" si="31"/>
        <v>0</v>
      </c>
      <c r="AP14" s="2">
        <f t="shared" si="32"/>
        <v>0</v>
      </c>
      <c r="AQ14" s="2">
        <f t="shared" si="33"/>
        <v>0</v>
      </c>
      <c r="AR14" s="8" t="str">
        <f t="shared" si="43"/>
        <v/>
      </c>
      <c r="AS14" s="8" t="str">
        <f t="shared" si="13"/>
        <v/>
      </c>
      <c r="AT14" s="2" t="str">
        <f t="shared" si="34"/>
        <v>$O$66</v>
      </c>
      <c r="AU14" s="2" t="str">
        <f t="shared" si="14"/>
        <v>$O$66</v>
      </c>
      <c r="AV14" s="2" t="str">
        <f t="shared" si="15"/>
        <v>$O$66</v>
      </c>
      <c r="AW14" s="2" t="str">
        <f t="shared" si="16"/>
        <v>$O$66</v>
      </c>
      <c r="AX14" s="2" t="str">
        <f t="shared" si="17"/>
        <v>$O$66</v>
      </c>
      <c r="AY14" s="2" t="str">
        <f t="shared" si="18"/>
        <v>$O$66</v>
      </c>
      <c r="BB14" s="2" t="str">
        <f t="shared" si="35"/>
        <v>$O$66</v>
      </c>
      <c r="BC14" s="8"/>
      <c r="BD14" s="8" t="e">
        <f t="shared" si="36"/>
        <v>#N/A</v>
      </c>
      <c r="BE14" s="8"/>
      <c r="BF14" s="2" t="e">
        <f t="shared" si="37"/>
        <v>#N/A</v>
      </c>
      <c r="BG14" s="2" t="str">
        <f t="shared" si="38"/>
        <v>$N$70:$N$84</v>
      </c>
      <c r="BH14" s="2" t="str">
        <f t="shared" si="19"/>
        <v/>
      </c>
      <c r="BI14" s="8" t="str">
        <f t="shared" si="20"/>
        <v/>
      </c>
      <c r="BJ14" s="2">
        <f t="shared" si="21"/>
        <v>0</v>
      </c>
      <c r="BK14" s="2">
        <f t="shared" si="39"/>
        <v>0</v>
      </c>
      <c r="BL14" s="2">
        <v>7</v>
      </c>
      <c r="BM14" s="2" t="e">
        <f t="shared" si="22"/>
        <v>#N/A</v>
      </c>
      <c r="BN14" s="2" t="str">
        <f t="shared" si="23"/>
        <v/>
      </c>
      <c r="BO14" s="2" t="str">
        <f t="shared" si="24"/>
        <v/>
      </c>
      <c r="BP14" s="2" t="str">
        <f t="shared" si="25"/>
        <v/>
      </c>
      <c r="BQ14" s="2" t="str">
        <f t="shared" si="26"/>
        <v/>
      </c>
      <c r="BR14" s="2" t="str">
        <f t="shared" si="40"/>
        <v/>
      </c>
      <c r="BS14" s="2" t="b">
        <f t="shared" si="41"/>
        <v>0</v>
      </c>
      <c r="BU14" s="2">
        <v>7</v>
      </c>
      <c r="BV14" s="8" t="e">
        <f t="shared" si="27"/>
        <v>#N/A</v>
      </c>
      <c r="BW14" s="8" t="e">
        <f t="shared" si="42"/>
        <v>#N/A</v>
      </c>
      <c r="BX14" s="8"/>
      <c r="BY14" s="8"/>
      <c r="BZ14" s="8"/>
      <c r="CA14" s="8"/>
      <c r="CB14" s="8"/>
      <c r="CC14" s="8"/>
      <c r="CD14" s="8"/>
      <c r="CE14" s="8"/>
      <c r="CF14" s="8"/>
      <c r="CG14" s="8"/>
      <c r="CH14" s="8"/>
      <c r="CI14" s="8"/>
      <c r="CJ14" s="8"/>
      <c r="CK14" s="8"/>
      <c r="CL14" s="8"/>
      <c r="CM14" s="8"/>
    </row>
    <row r="15" spans="1:91" s="2" customFormat="1" ht="30" customHeight="1" x14ac:dyDescent="0.25">
      <c r="A15" s="8"/>
      <c r="B15" s="9">
        <v>8</v>
      </c>
      <c r="C15" s="453"/>
      <c r="D15" s="454"/>
      <c r="E15" s="32" t="str">
        <f t="shared" si="0"/>
        <v/>
      </c>
      <c r="F15" s="32" t="str">
        <f t="shared" si="1"/>
        <v/>
      </c>
      <c r="G15" s="68" t="str">
        <f t="shared" si="2"/>
        <v/>
      </c>
      <c r="H15" s="68" t="str">
        <f t="shared" si="3"/>
        <v/>
      </c>
      <c r="I15" s="68" t="str">
        <f t="shared" si="4"/>
        <v/>
      </c>
      <c r="J15" s="33" t="str">
        <f t="shared" si="5"/>
        <v/>
      </c>
      <c r="K15" s="34" t="str">
        <f t="shared" si="6"/>
        <v/>
      </c>
      <c r="L15" s="120" t="str">
        <f t="shared" si="28"/>
        <v/>
      </c>
      <c r="M15" s="43"/>
      <c r="N15" s="49" t="s">
        <v>26</v>
      </c>
      <c r="O15" s="52"/>
      <c r="P15" s="55">
        <f t="shared" si="7"/>
        <v>0</v>
      </c>
      <c r="Q15" s="49" t="s">
        <v>26</v>
      </c>
      <c r="R15" s="154"/>
      <c r="S15" s="150">
        <f t="shared" si="8"/>
        <v>0</v>
      </c>
      <c r="T15" s="136" t="s">
        <v>26</v>
      </c>
      <c r="U15" s="52"/>
      <c r="V15" s="55">
        <f t="shared" si="9"/>
        <v>0</v>
      </c>
      <c r="W15" s="49" t="s">
        <v>26</v>
      </c>
      <c r="X15" s="52"/>
      <c r="Y15" s="55">
        <f t="shared" si="10"/>
        <v>0</v>
      </c>
      <c r="Z15" s="49" t="s">
        <v>26</v>
      </c>
      <c r="AA15" s="52"/>
      <c r="AB15" s="55">
        <f t="shared" si="11"/>
        <v>0</v>
      </c>
      <c r="AC15" s="49" t="s">
        <v>26</v>
      </c>
      <c r="AD15" s="52"/>
      <c r="AE15" s="55">
        <f t="shared" si="12"/>
        <v>0</v>
      </c>
      <c r="AF15" s="8"/>
      <c r="AG15" s="74"/>
      <c r="AH15" s="75"/>
      <c r="AI15" s="75"/>
      <c r="AJ15" s="75"/>
      <c r="AK15" s="76"/>
      <c r="AL15" s="8"/>
      <c r="AM15" s="2">
        <f t="shared" si="29"/>
        <v>0</v>
      </c>
      <c r="AN15" s="2">
        <f t="shared" si="30"/>
        <v>0</v>
      </c>
      <c r="AO15" s="2">
        <f t="shared" si="31"/>
        <v>0</v>
      </c>
      <c r="AP15" s="2">
        <f t="shared" si="32"/>
        <v>0</v>
      </c>
      <c r="AQ15" s="2">
        <f t="shared" si="33"/>
        <v>0</v>
      </c>
      <c r="AR15" s="8" t="str">
        <f t="shared" si="43"/>
        <v/>
      </c>
      <c r="AS15" s="8" t="str">
        <f t="shared" si="13"/>
        <v/>
      </c>
      <c r="AT15" s="2" t="str">
        <f t="shared" si="34"/>
        <v>$O$66</v>
      </c>
      <c r="AU15" s="2" t="str">
        <f t="shared" si="14"/>
        <v>$O$66</v>
      </c>
      <c r="AV15" s="2" t="str">
        <f t="shared" si="15"/>
        <v>$O$66</v>
      </c>
      <c r="AW15" s="2" t="str">
        <f t="shared" si="16"/>
        <v>$O$66</v>
      </c>
      <c r="AX15" s="2" t="str">
        <f t="shared" si="17"/>
        <v>$O$66</v>
      </c>
      <c r="AY15" s="2" t="str">
        <f t="shared" si="18"/>
        <v>$O$66</v>
      </c>
      <c r="BB15" s="2" t="str">
        <f t="shared" si="35"/>
        <v>$O$66</v>
      </c>
      <c r="BC15" s="8"/>
      <c r="BD15" s="8" t="e">
        <f t="shared" si="36"/>
        <v>#N/A</v>
      </c>
      <c r="BE15" s="8"/>
      <c r="BF15" s="2" t="e">
        <f t="shared" si="37"/>
        <v>#N/A</v>
      </c>
      <c r="BG15" s="2" t="str">
        <f t="shared" si="38"/>
        <v>$N$70:$N$84</v>
      </c>
      <c r="BH15" s="2" t="str">
        <f t="shared" si="19"/>
        <v/>
      </c>
      <c r="BI15" s="8" t="str">
        <f t="shared" si="20"/>
        <v/>
      </c>
      <c r="BJ15" s="2">
        <f t="shared" si="21"/>
        <v>0</v>
      </c>
      <c r="BK15" s="2">
        <f t="shared" si="39"/>
        <v>0</v>
      </c>
      <c r="BL15" s="2">
        <v>8</v>
      </c>
      <c r="BM15" s="2" t="e">
        <f t="shared" si="22"/>
        <v>#N/A</v>
      </c>
      <c r="BN15" s="2" t="str">
        <f t="shared" si="23"/>
        <v/>
      </c>
      <c r="BO15" s="2" t="str">
        <f t="shared" si="24"/>
        <v/>
      </c>
      <c r="BP15" s="2" t="str">
        <f t="shared" si="25"/>
        <v/>
      </c>
      <c r="BQ15" s="2" t="str">
        <f t="shared" si="26"/>
        <v/>
      </c>
      <c r="BR15" s="2" t="str">
        <f t="shared" si="40"/>
        <v/>
      </c>
      <c r="BS15" s="2" t="b">
        <f t="shared" si="41"/>
        <v>0</v>
      </c>
      <c r="BU15" s="2">
        <v>8</v>
      </c>
      <c r="BV15" s="8" t="e">
        <f t="shared" si="27"/>
        <v>#N/A</v>
      </c>
      <c r="BW15" s="8" t="e">
        <f t="shared" si="42"/>
        <v>#N/A</v>
      </c>
      <c r="BX15" s="8"/>
      <c r="BY15" s="8"/>
      <c r="BZ15" s="8"/>
      <c r="CA15" s="8"/>
      <c r="CB15" s="8"/>
      <c r="CC15" s="8"/>
      <c r="CD15" s="8"/>
      <c r="CE15" s="8"/>
      <c r="CF15" s="8"/>
      <c r="CG15" s="8"/>
      <c r="CH15" s="8"/>
      <c r="CI15" s="8"/>
      <c r="CJ15" s="8"/>
      <c r="CK15" s="8"/>
      <c r="CL15" s="8"/>
      <c r="CM15" s="8"/>
    </row>
    <row r="16" spans="1:91" s="2" customFormat="1" ht="30" customHeight="1" x14ac:dyDescent="0.25">
      <c r="A16" s="8"/>
      <c r="B16" s="9">
        <v>9</v>
      </c>
      <c r="C16" s="453"/>
      <c r="D16" s="454"/>
      <c r="E16" s="32" t="str">
        <f t="shared" si="0"/>
        <v/>
      </c>
      <c r="F16" s="32" t="str">
        <f t="shared" si="1"/>
        <v/>
      </c>
      <c r="G16" s="68" t="str">
        <f t="shared" si="2"/>
        <v/>
      </c>
      <c r="H16" s="68" t="str">
        <f t="shared" si="3"/>
        <v/>
      </c>
      <c r="I16" s="68" t="str">
        <f t="shared" si="4"/>
        <v/>
      </c>
      <c r="J16" s="33" t="str">
        <f t="shared" si="5"/>
        <v/>
      </c>
      <c r="K16" s="34" t="str">
        <f t="shared" si="6"/>
        <v/>
      </c>
      <c r="L16" s="120" t="str">
        <f t="shared" si="28"/>
        <v/>
      </c>
      <c r="M16" s="43"/>
      <c r="N16" s="49" t="s">
        <v>26</v>
      </c>
      <c r="O16" s="52"/>
      <c r="P16" s="55">
        <f t="shared" si="7"/>
        <v>0</v>
      </c>
      <c r="Q16" s="49" t="s">
        <v>26</v>
      </c>
      <c r="R16" s="154"/>
      <c r="S16" s="150">
        <f t="shared" si="8"/>
        <v>0</v>
      </c>
      <c r="T16" s="136" t="s">
        <v>26</v>
      </c>
      <c r="U16" s="52"/>
      <c r="V16" s="55">
        <f t="shared" si="9"/>
        <v>0</v>
      </c>
      <c r="W16" s="49" t="s">
        <v>26</v>
      </c>
      <c r="X16" s="52"/>
      <c r="Y16" s="55">
        <f t="shared" si="10"/>
        <v>0</v>
      </c>
      <c r="Z16" s="49" t="s">
        <v>26</v>
      </c>
      <c r="AA16" s="52"/>
      <c r="AB16" s="55">
        <f t="shared" si="11"/>
        <v>0</v>
      </c>
      <c r="AC16" s="49" t="s">
        <v>26</v>
      </c>
      <c r="AD16" s="52"/>
      <c r="AE16" s="55">
        <f t="shared" si="12"/>
        <v>0</v>
      </c>
      <c r="AF16" s="8"/>
      <c r="AG16" s="74"/>
      <c r="AH16" s="75"/>
      <c r="AI16" s="75"/>
      <c r="AJ16" s="75"/>
      <c r="AK16" s="76"/>
      <c r="AL16" s="8"/>
      <c r="AM16" s="2">
        <f t="shared" si="29"/>
        <v>0</v>
      </c>
      <c r="AN16" s="2">
        <f t="shared" si="30"/>
        <v>0</v>
      </c>
      <c r="AO16" s="2">
        <f t="shared" si="31"/>
        <v>0</v>
      </c>
      <c r="AP16" s="2">
        <f t="shared" si="32"/>
        <v>0</v>
      </c>
      <c r="AQ16" s="2">
        <f t="shared" si="33"/>
        <v>0</v>
      </c>
      <c r="AR16" s="8" t="str">
        <f t="shared" si="43"/>
        <v/>
      </c>
      <c r="AS16" s="8" t="str">
        <f t="shared" si="13"/>
        <v/>
      </c>
      <c r="AT16" s="2" t="str">
        <f t="shared" si="34"/>
        <v>$O$66</v>
      </c>
      <c r="AU16" s="2" t="str">
        <f t="shared" si="14"/>
        <v>$O$66</v>
      </c>
      <c r="AV16" s="2" t="str">
        <f t="shared" si="15"/>
        <v>$O$66</v>
      </c>
      <c r="AW16" s="2" t="str">
        <f t="shared" si="16"/>
        <v>$O$66</v>
      </c>
      <c r="AX16" s="2" t="str">
        <f t="shared" si="17"/>
        <v>$O$66</v>
      </c>
      <c r="AY16" s="2" t="str">
        <f t="shared" si="18"/>
        <v>$O$66</v>
      </c>
      <c r="BB16" s="2" t="str">
        <f t="shared" si="35"/>
        <v>$O$66</v>
      </c>
      <c r="BC16" s="8"/>
      <c r="BD16" s="8" t="e">
        <f t="shared" si="36"/>
        <v>#N/A</v>
      </c>
      <c r="BE16" s="8"/>
      <c r="BF16" s="2" t="e">
        <f t="shared" si="37"/>
        <v>#N/A</v>
      </c>
      <c r="BG16" s="2" t="str">
        <f t="shared" si="38"/>
        <v>$N$70:$N$84</v>
      </c>
      <c r="BH16" s="2" t="str">
        <f t="shared" si="19"/>
        <v/>
      </c>
      <c r="BI16" s="8" t="str">
        <f t="shared" si="20"/>
        <v/>
      </c>
      <c r="BJ16" s="2">
        <f t="shared" si="21"/>
        <v>0</v>
      </c>
      <c r="BK16" s="2">
        <f t="shared" si="39"/>
        <v>0</v>
      </c>
      <c r="BL16" s="2">
        <v>9</v>
      </c>
      <c r="BM16" s="2" t="e">
        <f t="shared" si="22"/>
        <v>#N/A</v>
      </c>
      <c r="BN16" s="2" t="str">
        <f t="shared" si="23"/>
        <v/>
      </c>
      <c r="BO16" s="2" t="str">
        <f t="shared" si="24"/>
        <v/>
      </c>
      <c r="BP16" s="2" t="str">
        <f t="shared" si="25"/>
        <v/>
      </c>
      <c r="BQ16" s="2" t="str">
        <f t="shared" si="26"/>
        <v/>
      </c>
      <c r="BR16" s="2" t="str">
        <f t="shared" si="40"/>
        <v/>
      </c>
      <c r="BS16" s="2" t="b">
        <f t="shared" si="41"/>
        <v>0</v>
      </c>
      <c r="BU16" s="2">
        <v>9</v>
      </c>
      <c r="BV16" s="8" t="e">
        <f t="shared" si="27"/>
        <v>#N/A</v>
      </c>
      <c r="BW16" s="8" t="e">
        <f t="shared" si="42"/>
        <v>#N/A</v>
      </c>
      <c r="BX16" s="8"/>
      <c r="BY16" s="8"/>
      <c r="BZ16" s="8"/>
      <c r="CA16" s="8"/>
      <c r="CB16" s="8"/>
      <c r="CC16" s="8"/>
      <c r="CD16" s="8"/>
      <c r="CE16" s="8"/>
      <c r="CF16" s="8"/>
      <c r="CG16" s="8"/>
      <c r="CH16" s="8"/>
      <c r="CI16" s="8"/>
      <c r="CJ16" s="8"/>
      <c r="CK16" s="8"/>
      <c r="CL16" s="8"/>
      <c r="CM16" s="8"/>
    </row>
    <row r="17" spans="1:91" s="2" customFormat="1" ht="30" customHeight="1" x14ac:dyDescent="0.25">
      <c r="A17" s="8"/>
      <c r="B17" s="9">
        <v>10</v>
      </c>
      <c r="C17" s="453"/>
      <c r="D17" s="454"/>
      <c r="E17" s="32" t="str">
        <f t="shared" si="0"/>
        <v/>
      </c>
      <c r="F17" s="32" t="str">
        <f t="shared" si="1"/>
        <v/>
      </c>
      <c r="G17" s="68" t="str">
        <f t="shared" si="2"/>
        <v/>
      </c>
      <c r="H17" s="68" t="str">
        <f t="shared" si="3"/>
        <v/>
      </c>
      <c r="I17" s="68" t="str">
        <f t="shared" si="4"/>
        <v/>
      </c>
      <c r="J17" s="33" t="str">
        <f t="shared" si="5"/>
        <v/>
      </c>
      <c r="K17" s="34" t="str">
        <f t="shared" si="6"/>
        <v/>
      </c>
      <c r="L17" s="120" t="str">
        <f t="shared" si="28"/>
        <v/>
      </c>
      <c r="M17" s="43"/>
      <c r="N17" s="49" t="s">
        <v>26</v>
      </c>
      <c r="O17" s="52"/>
      <c r="P17" s="55">
        <f t="shared" si="7"/>
        <v>0</v>
      </c>
      <c r="Q17" s="49" t="s">
        <v>26</v>
      </c>
      <c r="R17" s="154"/>
      <c r="S17" s="150">
        <f t="shared" si="8"/>
        <v>0</v>
      </c>
      <c r="T17" s="136" t="s">
        <v>26</v>
      </c>
      <c r="U17" s="52"/>
      <c r="V17" s="55">
        <f t="shared" si="9"/>
        <v>0</v>
      </c>
      <c r="W17" s="49" t="s">
        <v>26</v>
      </c>
      <c r="X17" s="52"/>
      <c r="Y17" s="55">
        <f t="shared" si="10"/>
        <v>0</v>
      </c>
      <c r="Z17" s="49" t="s">
        <v>26</v>
      </c>
      <c r="AA17" s="52"/>
      <c r="AB17" s="55">
        <f t="shared" si="11"/>
        <v>0</v>
      </c>
      <c r="AC17" s="49" t="s">
        <v>26</v>
      </c>
      <c r="AD17" s="52"/>
      <c r="AE17" s="55">
        <f t="shared" si="12"/>
        <v>0</v>
      </c>
      <c r="AF17" s="8"/>
      <c r="AG17" s="74"/>
      <c r="AH17" s="75"/>
      <c r="AI17" s="75"/>
      <c r="AJ17" s="75"/>
      <c r="AK17" s="76"/>
      <c r="AL17" s="8"/>
      <c r="AM17" s="2">
        <f t="shared" si="29"/>
        <v>0</v>
      </c>
      <c r="AN17" s="2">
        <f t="shared" si="30"/>
        <v>0</v>
      </c>
      <c r="AO17" s="2">
        <f t="shared" si="31"/>
        <v>0</v>
      </c>
      <c r="AP17" s="2">
        <f t="shared" si="32"/>
        <v>0</v>
      </c>
      <c r="AQ17" s="2">
        <f t="shared" si="33"/>
        <v>0</v>
      </c>
      <c r="AR17" s="8" t="str">
        <f t="shared" si="43"/>
        <v/>
      </c>
      <c r="AS17" s="8" t="str">
        <f t="shared" si="13"/>
        <v/>
      </c>
      <c r="AT17" s="2" t="str">
        <f t="shared" si="34"/>
        <v>$O$66</v>
      </c>
      <c r="AU17" s="2" t="str">
        <f t="shared" si="14"/>
        <v>$O$66</v>
      </c>
      <c r="AV17" s="2" t="str">
        <f t="shared" si="15"/>
        <v>$O$66</v>
      </c>
      <c r="AW17" s="2" t="str">
        <f t="shared" si="16"/>
        <v>$O$66</v>
      </c>
      <c r="AX17" s="2" t="str">
        <f t="shared" si="17"/>
        <v>$O$66</v>
      </c>
      <c r="AY17" s="2" t="str">
        <f t="shared" si="18"/>
        <v>$O$66</v>
      </c>
      <c r="BB17" s="2" t="str">
        <f t="shared" si="35"/>
        <v>$O$66</v>
      </c>
      <c r="BC17" s="8"/>
      <c r="BD17" s="8" t="e">
        <f t="shared" si="36"/>
        <v>#N/A</v>
      </c>
      <c r="BE17" s="8"/>
      <c r="BF17" s="2" t="e">
        <f t="shared" si="37"/>
        <v>#N/A</v>
      </c>
      <c r="BG17" s="2" t="str">
        <f t="shared" si="38"/>
        <v>$N$70:$N$84</v>
      </c>
      <c r="BH17" s="2" t="str">
        <f t="shared" si="19"/>
        <v/>
      </c>
      <c r="BI17" s="8" t="str">
        <f t="shared" si="20"/>
        <v/>
      </c>
      <c r="BJ17" s="2">
        <f t="shared" si="21"/>
        <v>0</v>
      </c>
      <c r="BK17" s="2">
        <f t="shared" si="39"/>
        <v>0</v>
      </c>
      <c r="BL17" s="2">
        <v>10</v>
      </c>
      <c r="BM17" s="2" t="e">
        <f t="shared" si="22"/>
        <v>#N/A</v>
      </c>
      <c r="BN17" s="2" t="str">
        <f>IFERROR(VLOOKUP(BM17,PLAYERS,2,FALSE),"")</f>
        <v/>
      </c>
      <c r="BO17" s="2" t="str">
        <f t="shared" si="24"/>
        <v/>
      </c>
      <c r="BP17" s="2" t="str">
        <f t="shared" si="25"/>
        <v/>
      </c>
      <c r="BQ17" s="2" t="str">
        <f t="shared" si="26"/>
        <v/>
      </c>
      <c r="BR17" s="2" t="str">
        <f t="shared" si="40"/>
        <v/>
      </c>
      <c r="BS17" s="2" t="b">
        <f t="shared" si="41"/>
        <v>0</v>
      </c>
      <c r="BU17" s="2">
        <v>10</v>
      </c>
      <c r="BV17" s="8" t="e">
        <f>IF(HLOOKUP($BV$4,STARS,$BL17+1,FALSE)="","",HLOOKUP($BV$4,STARS,$BL17+1,FALSE))</f>
        <v>#N/A</v>
      </c>
      <c r="BW17" s="8" t="e">
        <f t="shared" si="42"/>
        <v>#N/A</v>
      </c>
      <c r="BX17" s="8"/>
      <c r="BY17" s="8"/>
      <c r="BZ17" s="8"/>
      <c r="CA17" s="8"/>
      <c r="CB17" s="8"/>
      <c r="CC17" s="8"/>
      <c r="CD17" s="8"/>
      <c r="CE17" s="8"/>
      <c r="CF17" s="8"/>
      <c r="CG17" s="8"/>
      <c r="CH17" s="8"/>
      <c r="CI17" s="8"/>
      <c r="CJ17" s="8"/>
      <c r="CK17" s="8"/>
      <c r="CL17" s="8"/>
      <c r="CM17" s="8"/>
    </row>
    <row r="18" spans="1:91" s="2" customFormat="1" ht="30" customHeight="1" x14ac:dyDescent="0.25">
      <c r="A18" s="8"/>
      <c r="B18" s="9">
        <v>11</v>
      </c>
      <c r="C18" s="453"/>
      <c r="D18" s="454"/>
      <c r="E18" s="32" t="str">
        <f t="shared" si="0"/>
        <v/>
      </c>
      <c r="F18" s="32" t="str">
        <f t="shared" si="1"/>
        <v/>
      </c>
      <c r="G18" s="68" t="str">
        <f t="shared" si="2"/>
        <v/>
      </c>
      <c r="H18" s="68" t="str">
        <f t="shared" si="3"/>
        <v/>
      </c>
      <c r="I18" s="68" t="str">
        <f t="shared" si="4"/>
        <v/>
      </c>
      <c r="J18" s="33" t="str">
        <f t="shared" si="5"/>
        <v/>
      </c>
      <c r="K18" s="34" t="str">
        <f t="shared" si="6"/>
        <v/>
      </c>
      <c r="L18" s="120" t="str">
        <f t="shared" si="28"/>
        <v/>
      </c>
      <c r="M18" s="43"/>
      <c r="N18" s="49" t="s">
        <v>26</v>
      </c>
      <c r="O18" s="52"/>
      <c r="P18" s="55">
        <f t="shared" si="7"/>
        <v>0</v>
      </c>
      <c r="Q18" s="49" t="s">
        <v>26</v>
      </c>
      <c r="R18" s="154"/>
      <c r="S18" s="150">
        <f t="shared" si="8"/>
        <v>0</v>
      </c>
      <c r="T18" s="136" t="s">
        <v>26</v>
      </c>
      <c r="U18" s="52"/>
      <c r="V18" s="55">
        <f t="shared" si="9"/>
        <v>0</v>
      </c>
      <c r="W18" s="49" t="s">
        <v>26</v>
      </c>
      <c r="X18" s="52"/>
      <c r="Y18" s="55">
        <f t="shared" si="10"/>
        <v>0</v>
      </c>
      <c r="Z18" s="49" t="s">
        <v>26</v>
      </c>
      <c r="AA18" s="52"/>
      <c r="AB18" s="55">
        <f t="shared" si="11"/>
        <v>0</v>
      </c>
      <c r="AC18" s="49" t="s">
        <v>26</v>
      </c>
      <c r="AD18" s="52"/>
      <c r="AE18" s="55">
        <f t="shared" si="12"/>
        <v>0</v>
      </c>
      <c r="AF18" s="8"/>
      <c r="AG18" s="74"/>
      <c r="AH18" s="75"/>
      <c r="AI18" s="75"/>
      <c r="AJ18" s="75"/>
      <c r="AK18" s="76"/>
      <c r="AL18" s="8"/>
      <c r="AM18" s="2">
        <f t="shared" si="29"/>
        <v>0</v>
      </c>
      <c r="AN18" s="2">
        <f t="shared" si="30"/>
        <v>0</v>
      </c>
      <c r="AO18" s="2">
        <f t="shared" si="31"/>
        <v>0</v>
      </c>
      <c r="AP18" s="2">
        <f t="shared" si="32"/>
        <v>0</v>
      </c>
      <c r="AQ18" s="2">
        <f t="shared" si="33"/>
        <v>0</v>
      </c>
      <c r="AR18" s="8" t="str">
        <f t="shared" si="43"/>
        <v/>
      </c>
      <c r="AS18" s="8" t="str">
        <f t="shared" si="13"/>
        <v/>
      </c>
      <c r="AT18" s="2" t="str">
        <f t="shared" si="34"/>
        <v>$O$66</v>
      </c>
      <c r="AU18" s="2" t="str">
        <f t="shared" si="14"/>
        <v>$O$66</v>
      </c>
      <c r="AV18" s="2" t="str">
        <f t="shared" si="15"/>
        <v>$O$66</v>
      </c>
      <c r="AW18" s="2" t="str">
        <f t="shared" si="16"/>
        <v>$O$66</v>
      </c>
      <c r="AX18" s="2" t="str">
        <f t="shared" si="17"/>
        <v>$O$66</v>
      </c>
      <c r="AY18" s="2" t="str">
        <f t="shared" si="18"/>
        <v>$O$66</v>
      </c>
      <c r="BB18" s="2" t="str">
        <f t="shared" si="35"/>
        <v>$O$66</v>
      </c>
      <c r="BC18" s="8"/>
      <c r="BD18" s="8" t="e">
        <f t="shared" si="36"/>
        <v>#N/A</v>
      </c>
      <c r="BE18" s="8"/>
      <c r="BF18" s="2" t="e">
        <f t="shared" si="37"/>
        <v>#N/A</v>
      </c>
      <c r="BG18" s="2" t="str">
        <f t="shared" si="38"/>
        <v>$N$70:$N$84</v>
      </c>
      <c r="BH18" s="2" t="str">
        <f t="shared" si="19"/>
        <v/>
      </c>
      <c r="BI18" s="8" t="str">
        <f t="shared" si="20"/>
        <v/>
      </c>
      <c r="BJ18" s="2">
        <f t="shared" si="21"/>
        <v>0</v>
      </c>
      <c r="BK18" s="2">
        <f t="shared" si="39"/>
        <v>0</v>
      </c>
      <c r="BL18" s="2">
        <v>11</v>
      </c>
      <c r="BM18" s="2" t="e">
        <f t="shared" si="22"/>
        <v>#N/A</v>
      </c>
      <c r="BN18" s="2" t="str">
        <f t="shared" si="23"/>
        <v/>
      </c>
      <c r="BO18" s="2" t="str">
        <f t="shared" si="24"/>
        <v/>
      </c>
      <c r="BP18" s="2" t="str">
        <f t="shared" si="25"/>
        <v/>
      </c>
      <c r="BQ18" s="2" t="str">
        <f t="shared" si="26"/>
        <v/>
      </c>
      <c r="BR18" s="2" t="str">
        <f t="shared" si="40"/>
        <v/>
      </c>
      <c r="BS18" s="2" t="b">
        <f t="shared" si="41"/>
        <v>0</v>
      </c>
      <c r="BU18" s="2">
        <v>11</v>
      </c>
      <c r="BV18" s="8" t="e">
        <f t="shared" si="27"/>
        <v>#N/A</v>
      </c>
      <c r="BW18" s="8" t="e">
        <f t="shared" si="42"/>
        <v>#N/A</v>
      </c>
      <c r="BX18" s="8"/>
      <c r="BY18" s="8"/>
      <c r="BZ18" s="8"/>
      <c r="CA18" s="8"/>
      <c r="CB18" s="8"/>
      <c r="CC18" s="8"/>
      <c r="CD18" s="8"/>
      <c r="CE18" s="8"/>
      <c r="CF18" s="8"/>
      <c r="CG18" s="8"/>
      <c r="CH18" s="8"/>
      <c r="CI18" s="8"/>
      <c r="CJ18" s="8"/>
      <c r="CK18" s="8"/>
      <c r="CL18" s="8"/>
      <c r="CM18" s="8"/>
    </row>
    <row r="19" spans="1:91" s="2" customFormat="1" ht="30" customHeight="1" x14ac:dyDescent="0.25">
      <c r="A19" s="8"/>
      <c r="B19" s="9">
        <v>12</v>
      </c>
      <c r="C19" s="453"/>
      <c r="D19" s="454"/>
      <c r="E19" s="32" t="str">
        <f t="shared" si="0"/>
        <v/>
      </c>
      <c r="F19" s="32" t="str">
        <f t="shared" si="1"/>
        <v/>
      </c>
      <c r="G19" s="68" t="str">
        <f t="shared" si="2"/>
        <v/>
      </c>
      <c r="H19" s="68" t="str">
        <f t="shared" si="3"/>
        <v/>
      </c>
      <c r="I19" s="68" t="str">
        <f t="shared" si="4"/>
        <v/>
      </c>
      <c r="J19" s="33" t="str">
        <f t="shared" si="5"/>
        <v/>
      </c>
      <c r="K19" s="34" t="str">
        <f t="shared" si="6"/>
        <v/>
      </c>
      <c r="L19" s="120" t="str">
        <f t="shared" si="28"/>
        <v/>
      </c>
      <c r="M19" s="43"/>
      <c r="N19" s="49" t="s">
        <v>26</v>
      </c>
      <c r="O19" s="52"/>
      <c r="P19" s="55">
        <f t="shared" si="7"/>
        <v>0</v>
      </c>
      <c r="Q19" s="49" t="s">
        <v>26</v>
      </c>
      <c r="R19" s="154"/>
      <c r="S19" s="150">
        <f t="shared" si="8"/>
        <v>0</v>
      </c>
      <c r="T19" s="136" t="s">
        <v>26</v>
      </c>
      <c r="U19" s="52"/>
      <c r="V19" s="55">
        <f t="shared" si="9"/>
        <v>0</v>
      </c>
      <c r="W19" s="49" t="s">
        <v>26</v>
      </c>
      <c r="X19" s="52"/>
      <c r="Y19" s="55">
        <f t="shared" si="10"/>
        <v>0</v>
      </c>
      <c r="Z19" s="49" t="s">
        <v>26</v>
      </c>
      <c r="AA19" s="52"/>
      <c r="AB19" s="55">
        <f t="shared" si="11"/>
        <v>0</v>
      </c>
      <c r="AC19" s="49" t="s">
        <v>26</v>
      </c>
      <c r="AD19" s="52"/>
      <c r="AE19" s="55">
        <f t="shared" si="12"/>
        <v>0</v>
      </c>
      <c r="AF19" s="8"/>
      <c r="AG19" s="74"/>
      <c r="AH19" s="75"/>
      <c r="AI19" s="75"/>
      <c r="AJ19" s="75"/>
      <c r="AK19" s="76"/>
      <c r="AL19" s="8"/>
      <c r="AM19" s="2">
        <f t="shared" si="29"/>
        <v>0</v>
      </c>
      <c r="AN19" s="2">
        <f t="shared" si="30"/>
        <v>0</v>
      </c>
      <c r="AO19" s="2">
        <f t="shared" si="31"/>
        <v>0</v>
      </c>
      <c r="AP19" s="2">
        <f t="shared" si="32"/>
        <v>0</v>
      </c>
      <c r="AQ19" s="2">
        <f t="shared" si="33"/>
        <v>0</v>
      </c>
      <c r="AR19" s="8" t="str">
        <f t="shared" si="43"/>
        <v/>
      </c>
      <c r="AS19" s="8" t="str">
        <f t="shared" si="13"/>
        <v/>
      </c>
      <c r="AT19" s="2" t="str">
        <f t="shared" si="34"/>
        <v>$O$66</v>
      </c>
      <c r="AU19" s="2" t="str">
        <f t="shared" si="14"/>
        <v>$O$66</v>
      </c>
      <c r="AV19" s="2" t="str">
        <f t="shared" si="15"/>
        <v>$O$66</v>
      </c>
      <c r="AW19" s="2" t="str">
        <f t="shared" si="16"/>
        <v>$O$66</v>
      </c>
      <c r="AX19" s="2" t="str">
        <f t="shared" si="17"/>
        <v>$O$66</v>
      </c>
      <c r="AY19" s="2" t="str">
        <f t="shared" si="18"/>
        <v>$O$66</v>
      </c>
      <c r="BB19" s="2" t="str">
        <f t="shared" si="35"/>
        <v>$O$66</v>
      </c>
      <c r="BC19" s="8"/>
      <c r="BD19" s="8" t="e">
        <f t="shared" si="36"/>
        <v>#N/A</v>
      </c>
      <c r="BE19" s="8"/>
      <c r="BF19" s="2" t="e">
        <f t="shared" si="37"/>
        <v>#N/A</v>
      </c>
      <c r="BG19" s="2" t="str">
        <f t="shared" si="38"/>
        <v>$N$70:$N$84</v>
      </c>
      <c r="BH19" s="2" t="str">
        <f t="shared" si="19"/>
        <v/>
      </c>
      <c r="BI19" s="8" t="str">
        <f t="shared" si="20"/>
        <v/>
      </c>
      <c r="BJ19" s="2">
        <f t="shared" si="21"/>
        <v>0</v>
      </c>
      <c r="BK19" s="2">
        <f t="shared" si="39"/>
        <v>0</v>
      </c>
      <c r="BL19" s="2">
        <v>12</v>
      </c>
      <c r="BM19" s="2" t="e">
        <f t="shared" si="22"/>
        <v>#N/A</v>
      </c>
      <c r="BN19" s="2" t="str">
        <f t="shared" si="23"/>
        <v/>
      </c>
      <c r="BO19" s="2" t="str">
        <f t="shared" si="24"/>
        <v/>
      </c>
      <c r="BP19" s="2" t="str">
        <f t="shared" si="25"/>
        <v/>
      </c>
      <c r="BQ19" s="2" t="str">
        <f t="shared" si="26"/>
        <v/>
      </c>
      <c r="BR19" s="2" t="str">
        <f t="shared" si="40"/>
        <v/>
      </c>
      <c r="BV19" s="8" t="e">
        <f t="shared" si="27"/>
        <v>#N/A</v>
      </c>
      <c r="BW19" s="8" t="e">
        <f t="shared" si="42"/>
        <v>#N/A</v>
      </c>
      <c r="BX19" s="8"/>
      <c r="BY19" s="8"/>
      <c r="BZ19" s="8"/>
      <c r="CA19" s="8"/>
      <c r="CB19" s="8"/>
      <c r="CC19" s="8"/>
      <c r="CD19" s="8"/>
      <c r="CE19" s="8"/>
      <c r="CF19" s="8"/>
      <c r="CG19" s="8"/>
      <c r="CH19" s="8"/>
      <c r="CI19" s="8"/>
      <c r="CJ19" s="8"/>
      <c r="CK19" s="8"/>
      <c r="CL19" s="8"/>
      <c r="CM19" s="8"/>
    </row>
    <row r="20" spans="1:91" s="2" customFormat="1" ht="30" customHeight="1" x14ac:dyDescent="0.25">
      <c r="A20" s="8"/>
      <c r="B20" s="9">
        <v>13</v>
      </c>
      <c r="C20" s="453"/>
      <c r="D20" s="454"/>
      <c r="E20" s="32" t="str">
        <f t="shared" si="0"/>
        <v/>
      </c>
      <c r="F20" s="32" t="str">
        <f t="shared" si="1"/>
        <v/>
      </c>
      <c r="G20" s="68" t="str">
        <f t="shared" si="2"/>
        <v/>
      </c>
      <c r="H20" s="68" t="str">
        <f t="shared" si="3"/>
        <v/>
      </c>
      <c r="I20" s="68" t="str">
        <f t="shared" si="4"/>
        <v/>
      </c>
      <c r="J20" s="33" t="str">
        <f t="shared" si="5"/>
        <v/>
      </c>
      <c r="K20" s="34" t="str">
        <f t="shared" si="6"/>
        <v/>
      </c>
      <c r="L20" s="120" t="str">
        <f t="shared" si="28"/>
        <v/>
      </c>
      <c r="M20" s="43"/>
      <c r="N20" s="49" t="s">
        <v>26</v>
      </c>
      <c r="O20" s="52"/>
      <c r="P20" s="55">
        <f t="shared" si="7"/>
        <v>0</v>
      </c>
      <c r="Q20" s="49" t="s">
        <v>26</v>
      </c>
      <c r="R20" s="154"/>
      <c r="S20" s="150">
        <f t="shared" si="8"/>
        <v>0</v>
      </c>
      <c r="T20" s="136" t="s">
        <v>26</v>
      </c>
      <c r="U20" s="52"/>
      <c r="V20" s="55">
        <f t="shared" si="9"/>
        <v>0</v>
      </c>
      <c r="W20" s="49" t="s">
        <v>26</v>
      </c>
      <c r="X20" s="52"/>
      <c r="Y20" s="55">
        <f t="shared" si="10"/>
        <v>0</v>
      </c>
      <c r="Z20" s="49" t="s">
        <v>26</v>
      </c>
      <c r="AA20" s="52"/>
      <c r="AB20" s="55">
        <f t="shared" si="11"/>
        <v>0</v>
      </c>
      <c r="AC20" s="49" t="s">
        <v>26</v>
      </c>
      <c r="AD20" s="52"/>
      <c r="AE20" s="55">
        <f t="shared" si="12"/>
        <v>0</v>
      </c>
      <c r="AF20" s="8"/>
      <c r="AG20" s="74"/>
      <c r="AH20" s="75"/>
      <c r="AI20" s="75"/>
      <c r="AJ20" s="75"/>
      <c r="AK20" s="76"/>
      <c r="AL20" s="8"/>
      <c r="AM20" s="2">
        <f t="shared" si="29"/>
        <v>0</v>
      </c>
      <c r="AN20" s="2">
        <f t="shared" si="30"/>
        <v>0</v>
      </c>
      <c r="AO20" s="2">
        <f t="shared" si="31"/>
        <v>0</v>
      </c>
      <c r="AP20" s="2">
        <f t="shared" si="32"/>
        <v>0</v>
      </c>
      <c r="AQ20" s="2">
        <f t="shared" si="33"/>
        <v>0</v>
      </c>
      <c r="AR20" s="8" t="str">
        <f t="shared" si="43"/>
        <v/>
      </c>
      <c r="AS20" s="8" t="str">
        <f t="shared" si="13"/>
        <v/>
      </c>
      <c r="AT20" s="2" t="str">
        <f t="shared" si="34"/>
        <v>$O$66</v>
      </c>
      <c r="AU20" s="2" t="str">
        <f t="shared" si="14"/>
        <v>$O$66</v>
      </c>
      <c r="AV20" s="2" t="str">
        <f t="shared" si="15"/>
        <v>$O$66</v>
      </c>
      <c r="AW20" s="2" t="str">
        <f t="shared" si="16"/>
        <v>$O$66</v>
      </c>
      <c r="AX20" s="2" t="str">
        <f t="shared" si="17"/>
        <v>$O$66</v>
      </c>
      <c r="AY20" s="2" t="str">
        <f t="shared" si="18"/>
        <v>$O$66</v>
      </c>
      <c r="BB20" s="2" t="str">
        <f t="shared" si="35"/>
        <v>$O$66</v>
      </c>
      <c r="BC20" s="8"/>
      <c r="BD20" s="8" t="e">
        <f t="shared" si="36"/>
        <v>#N/A</v>
      </c>
      <c r="BE20" s="8"/>
      <c r="BF20" s="2" t="e">
        <f t="shared" si="37"/>
        <v>#N/A</v>
      </c>
      <c r="BG20" s="2" t="str">
        <f t="shared" si="38"/>
        <v>$N$70:$N$84</v>
      </c>
      <c r="BH20" s="2" t="str">
        <f t="shared" si="19"/>
        <v/>
      </c>
      <c r="BI20" s="8" t="str">
        <f t="shared" si="20"/>
        <v/>
      </c>
      <c r="BJ20" s="2">
        <f t="shared" si="21"/>
        <v>0</v>
      </c>
      <c r="BK20" s="2">
        <f t="shared" si="39"/>
        <v>0</v>
      </c>
      <c r="BL20" s="2">
        <v>13</v>
      </c>
      <c r="BM20" s="2" t="e">
        <f t="shared" si="22"/>
        <v>#N/A</v>
      </c>
      <c r="BN20" s="2" t="str">
        <f t="shared" si="23"/>
        <v/>
      </c>
      <c r="BO20" s="2" t="str">
        <f t="shared" si="24"/>
        <v/>
      </c>
      <c r="BP20" s="2" t="str">
        <f t="shared" si="25"/>
        <v/>
      </c>
      <c r="BQ20" s="2" t="str">
        <f t="shared" si="26"/>
        <v/>
      </c>
      <c r="BR20" s="2" t="str">
        <f t="shared" si="40"/>
        <v/>
      </c>
      <c r="BV20" s="8" t="e">
        <f t="shared" si="27"/>
        <v>#N/A</v>
      </c>
      <c r="BW20" s="8" t="e">
        <f t="shared" si="42"/>
        <v>#N/A</v>
      </c>
      <c r="BX20" s="8"/>
      <c r="BY20" s="8"/>
      <c r="BZ20" s="8"/>
      <c r="CA20" s="8"/>
      <c r="CB20" s="8"/>
      <c r="CC20" s="8"/>
      <c r="CD20" s="8"/>
      <c r="CE20" s="8"/>
      <c r="CF20" s="8"/>
      <c r="CG20" s="8"/>
      <c r="CH20" s="8"/>
      <c r="CI20" s="8"/>
      <c r="CJ20" s="8"/>
      <c r="CK20" s="8"/>
      <c r="CL20" s="8"/>
      <c r="CM20" s="8"/>
    </row>
    <row r="21" spans="1:91" s="2" customFormat="1" ht="30" customHeight="1" x14ac:dyDescent="0.25">
      <c r="A21" s="8"/>
      <c r="B21" s="9">
        <v>14</v>
      </c>
      <c r="C21" s="453"/>
      <c r="D21" s="454"/>
      <c r="E21" s="32" t="str">
        <f t="shared" si="0"/>
        <v/>
      </c>
      <c r="F21" s="32" t="str">
        <f t="shared" si="1"/>
        <v/>
      </c>
      <c r="G21" s="68" t="str">
        <f t="shared" si="2"/>
        <v/>
      </c>
      <c r="H21" s="68" t="str">
        <f t="shared" si="3"/>
        <v/>
      </c>
      <c r="I21" s="68" t="str">
        <f t="shared" si="4"/>
        <v/>
      </c>
      <c r="J21" s="33" t="str">
        <f t="shared" si="5"/>
        <v/>
      </c>
      <c r="K21" s="34" t="str">
        <f t="shared" si="6"/>
        <v/>
      </c>
      <c r="L21" s="120" t="str">
        <f t="shared" si="28"/>
        <v/>
      </c>
      <c r="M21" s="43"/>
      <c r="N21" s="49" t="s">
        <v>26</v>
      </c>
      <c r="O21" s="52"/>
      <c r="P21" s="55">
        <f t="shared" si="7"/>
        <v>0</v>
      </c>
      <c r="Q21" s="49" t="s">
        <v>26</v>
      </c>
      <c r="R21" s="154"/>
      <c r="S21" s="150">
        <f t="shared" si="8"/>
        <v>0</v>
      </c>
      <c r="T21" s="136" t="s">
        <v>26</v>
      </c>
      <c r="U21" s="52"/>
      <c r="V21" s="55">
        <f t="shared" si="9"/>
        <v>0</v>
      </c>
      <c r="W21" s="49" t="s">
        <v>26</v>
      </c>
      <c r="X21" s="52"/>
      <c r="Y21" s="55">
        <f t="shared" si="10"/>
        <v>0</v>
      </c>
      <c r="Z21" s="49" t="s">
        <v>26</v>
      </c>
      <c r="AA21" s="52"/>
      <c r="AB21" s="55">
        <f t="shared" si="11"/>
        <v>0</v>
      </c>
      <c r="AC21" s="49" t="s">
        <v>26</v>
      </c>
      <c r="AD21" s="52"/>
      <c r="AE21" s="55">
        <f t="shared" si="12"/>
        <v>0</v>
      </c>
      <c r="AF21" s="8"/>
      <c r="AG21" s="74"/>
      <c r="AH21" s="75"/>
      <c r="AI21" s="75"/>
      <c r="AJ21" s="75"/>
      <c r="AK21" s="76"/>
      <c r="AL21" s="8"/>
      <c r="AM21" s="2">
        <f t="shared" si="29"/>
        <v>0</v>
      </c>
      <c r="AN21" s="2">
        <f t="shared" si="30"/>
        <v>0</v>
      </c>
      <c r="AO21" s="2">
        <f t="shared" si="31"/>
        <v>0</v>
      </c>
      <c r="AP21" s="2">
        <f t="shared" si="32"/>
        <v>0</v>
      </c>
      <c r="AQ21" s="2">
        <f t="shared" si="33"/>
        <v>0</v>
      </c>
      <c r="AR21" s="8" t="str">
        <f t="shared" si="43"/>
        <v/>
      </c>
      <c r="AS21" s="8" t="str">
        <f t="shared" si="13"/>
        <v/>
      </c>
      <c r="AT21" s="2" t="str">
        <f t="shared" si="34"/>
        <v>$O$66</v>
      </c>
      <c r="AU21" s="2" t="str">
        <f t="shared" si="14"/>
        <v>$O$66</v>
      </c>
      <c r="AV21" s="2" t="str">
        <f t="shared" si="15"/>
        <v>$O$66</v>
      </c>
      <c r="AW21" s="2" t="str">
        <f t="shared" si="16"/>
        <v>$O$66</v>
      </c>
      <c r="AX21" s="2" t="str">
        <f t="shared" si="17"/>
        <v>$O$66</v>
      </c>
      <c r="AY21" s="2" t="str">
        <f t="shared" si="18"/>
        <v>$O$66</v>
      </c>
      <c r="BB21" s="2" t="str">
        <f t="shared" si="35"/>
        <v>$O$66</v>
      </c>
      <c r="BC21" s="8"/>
      <c r="BD21" s="8" t="e">
        <f t="shared" si="36"/>
        <v>#N/A</v>
      </c>
      <c r="BE21" s="8"/>
      <c r="BF21" s="2" t="e">
        <f t="shared" si="37"/>
        <v>#N/A</v>
      </c>
      <c r="BG21" s="2" t="str">
        <f t="shared" si="38"/>
        <v>$N$70:$N$84</v>
      </c>
      <c r="BH21" s="2" t="str">
        <f t="shared" si="19"/>
        <v/>
      </c>
      <c r="BI21" s="8" t="str">
        <f t="shared" si="20"/>
        <v/>
      </c>
      <c r="BJ21" s="2">
        <f t="shared" si="21"/>
        <v>0</v>
      </c>
      <c r="BK21" s="2">
        <f t="shared" si="39"/>
        <v>0</v>
      </c>
      <c r="BL21" s="2">
        <v>14</v>
      </c>
      <c r="BM21" s="2" t="e">
        <f t="shared" si="22"/>
        <v>#N/A</v>
      </c>
      <c r="BN21" s="2" t="str">
        <f t="shared" si="23"/>
        <v/>
      </c>
      <c r="BO21" s="2" t="str">
        <f t="shared" si="24"/>
        <v/>
      </c>
      <c r="BP21" s="2" t="str">
        <f t="shared" si="25"/>
        <v/>
      </c>
      <c r="BQ21" s="2" t="str">
        <f t="shared" si="26"/>
        <v/>
      </c>
      <c r="BR21" s="2" t="str">
        <f t="shared" si="40"/>
        <v/>
      </c>
      <c r="BV21" s="8" t="e">
        <f t="shared" si="27"/>
        <v>#N/A</v>
      </c>
      <c r="BW21" s="8" t="e">
        <f t="shared" si="42"/>
        <v>#N/A</v>
      </c>
      <c r="BX21" s="8"/>
      <c r="BY21" s="8"/>
      <c r="BZ21" s="8"/>
      <c r="CA21" s="8"/>
      <c r="CB21" s="8"/>
      <c r="CC21" s="8"/>
      <c r="CD21" s="8"/>
      <c r="CE21" s="8"/>
      <c r="CF21" s="8"/>
      <c r="CG21" s="8"/>
      <c r="CH21" s="8"/>
      <c r="CI21" s="8"/>
      <c r="CJ21" s="8"/>
      <c r="CK21" s="8"/>
      <c r="CL21" s="8"/>
      <c r="CM21" s="8"/>
    </row>
    <row r="22" spans="1:91" s="2" customFormat="1" ht="30" customHeight="1" x14ac:dyDescent="0.25">
      <c r="A22" s="8"/>
      <c r="B22" s="9">
        <v>15</v>
      </c>
      <c r="C22" s="453"/>
      <c r="D22" s="454"/>
      <c r="E22" s="32" t="str">
        <f t="shared" si="0"/>
        <v/>
      </c>
      <c r="F22" s="32" t="str">
        <f t="shared" si="1"/>
        <v/>
      </c>
      <c r="G22" s="68" t="str">
        <f t="shared" si="2"/>
        <v/>
      </c>
      <c r="H22" s="68" t="str">
        <f t="shared" si="3"/>
        <v/>
      </c>
      <c r="I22" s="68" t="str">
        <f t="shared" si="4"/>
        <v/>
      </c>
      <c r="J22" s="33" t="str">
        <f t="shared" si="5"/>
        <v/>
      </c>
      <c r="K22" s="34" t="str">
        <f t="shared" si="6"/>
        <v/>
      </c>
      <c r="L22" s="120" t="str">
        <f t="shared" si="28"/>
        <v/>
      </c>
      <c r="M22" s="43"/>
      <c r="N22" s="49" t="s">
        <v>26</v>
      </c>
      <c r="O22" s="52"/>
      <c r="P22" s="55">
        <f t="shared" si="7"/>
        <v>0</v>
      </c>
      <c r="Q22" s="49" t="s">
        <v>26</v>
      </c>
      <c r="R22" s="154"/>
      <c r="S22" s="150">
        <f t="shared" si="8"/>
        <v>0</v>
      </c>
      <c r="T22" s="136" t="s">
        <v>26</v>
      </c>
      <c r="U22" s="52"/>
      <c r="V22" s="55">
        <f t="shared" si="9"/>
        <v>0</v>
      </c>
      <c r="W22" s="49" t="s">
        <v>26</v>
      </c>
      <c r="X22" s="52"/>
      <c r="Y22" s="55">
        <f t="shared" si="10"/>
        <v>0</v>
      </c>
      <c r="Z22" s="49" t="s">
        <v>26</v>
      </c>
      <c r="AA22" s="52"/>
      <c r="AB22" s="55">
        <f t="shared" si="11"/>
        <v>0</v>
      </c>
      <c r="AC22" s="49" t="s">
        <v>26</v>
      </c>
      <c r="AD22" s="52"/>
      <c r="AE22" s="55">
        <f t="shared" si="12"/>
        <v>0</v>
      </c>
      <c r="AF22" s="8"/>
      <c r="AG22" s="74"/>
      <c r="AH22" s="75"/>
      <c r="AI22" s="75"/>
      <c r="AJ22" s="75"/>
      <c r="AK22" s="76"/>
      <c r="AL22" s="8"/>
      <c r="AM22" s="2">
        <f t="shared" si="29"/>
        <v>0</v>
      </c>
      <c r="AN22" s="2">
        <f t="shared" si="30"/>
        <v>0</v>
      </c>
      <c r="AO22" s="2">
        <f t="shared" si="31"/>
        <v>0</v>
      </c>
      <c r="AP22" s="2">
        <f t="shared" si="32"/>
        <v>0</v>
      </c>
      <c r="AQ22" s="2">
        <f t="shared" si="33"/>
        <v>0</v>
      </c>
      <c r="AR22" s="8" t="str">
        <f t="shared" si="43"/>
        <v/>
      </c>
      <c r="AS22" s="8" t="str">
        <f t="shared" si="13"/>
        <v/>
      </c>
      <c r="AT22" s="2" t="str">
        <f t="shared" si="34"/>
        <v>$O$66</v>
      </c>
      <c r="AU22" s="2" t="str">
        <f t="shared" si="14"/>
        <v>$O$66</v>
      </c>
      <c r="AV22" s="2" t="str">
        <f t="shared" si="15"/>
        <v>$O$66</v>
      </c>
      <c r="AW22" s="2" t="str">
        <f t="shared" si="16"/>
        <v>$O$66</v>
      </c>
      <c r="AX22" s="2" t="str">
        <f t="shared" si="17"/>
        <v>$O$66</v>
      </c>
      <c r="AY22" s="2" t="str">
        <f t="shared" si="18"/>
        <v>$O$66</v>
      </c>
      <c r="BB22" s="2" t="str">
        <f t="shared" si="35"/>
        <v>$O$66</v>
      </c>
      <c r="BC22" s="8"/>
      <c r="BD22" s="8" t="e">
        <f t="shared" si="36"/>
        <v>#N/A</v>
      </c>
      <c r="BE22" s="8"/>
      <c r="BF22" s="2" t="e">
        <f t="shared" si="37"/>
        <v>#N/A</v>
      </c>
      <c r="BG22" s="2" t="str">
        <f t="shared" si="38"/>
        <v>$N$70:$N$84</v>
      </c>
      <c r="BH22" s="2" t="str">
        <f t="shared" si="19"/>
        <v/>
      </c>
      <c r="BI22" s="8" t="str">
        <f t="shared" si="20"/>
        <v/>
      </c>
      <c r="BJ22" s="2">
        <f t="shared" si="21"/>
        <v>0</v>
      </c>
      <c r="BK22" s="2">
        <f t="shared" si="39"/>
        <v>0</v>
      </c>
      <c r="BL22" s="2">
        <v>15</v>
      </c>
      <c r="BM22" s="2" t="e">
        <f t="shared" si="22"/>
        <v>#N/A</v>
      </c>
      <c r="BN22" s="2" t="str">
        <f t="shared" si="23"/>
        <v/>
      </c>
      <c r="BO22" s="2" t="str">
        <f t="shared" si="24"/>
        <v/>
      </c>
      <c r="BP22" s="2" t="str">
        <f t="shared" si="25"/>
        <v/>
      </c>
      <c r="BQ22" s="2" t="str">
        <f t="shared" si="26"/>
        <v/>
      </c>
      <c r="BR22" s="2" t="str">
        <f>IF(BP22="BG",BP26,"")</f>
        <v/>
      </c>
      <c r="BV22" s="8" t="e">
        <f t="shared" si="27"/>
        <v>#N/A</v>
      </c>
      <c r="BW22" s="8" t="e">
        <f t="shared" si="42"/>
        <v>#N/A</v>
      </c>
      <c r="BX22" s="8"/>
      <c r="BY22" s="8"/>
      <c r="BZ22" s="8"/>
      <c r="CA22" s="8"/>
      <c r="CB22" s="8"/>
      <c r="CC22" s="8"/>
      <c r="CD22" s="8"/>
      <c r="CE22" s="8"/>
      <c r="CF22" s="8"/>
      <c r="CG22" s="8"/>
      <c r="CH22" s="8"/>
      <c r="CI22" s="8"/>
      <c r="CJ22" s="8"/>
      <c r="CK22" s="8"/>
      <c r="CL22" s="8"/>
      <c r="CM22" s="8"/>
    </row>
    <row r="23" spans="1:91" s="2" customFormat="1" ht="30" customHeight="1" thickBot="1" x14ac:dyDescent="0.3">
      <c r="A23" s="8"/>
      <c r="B23" s="10">
        <v>16</v>
      </c>
      <c r="C23" s="457"/>
      <c r="D23" s="458"/>
      <c r="E23" s="138" t="str">
        <f t="shared" si="0"/>
        <v/>
      </c>
      <c r="F23" s="138" t="str">
        <f t="shared" si="1"/>
        <v/>
      </c>
      <c r="G23" s="139" t="str">
        <f t="shared" si="2"/>
        <v/>
      </c>
      <c r="H23" s="139" t="str">
        <f t="shared" si="3"/>
        <v/>
      </c>
      <c r="I23" s="139" t="str">
        <f t="shared" si="4"/>
        <v/>
      </c>
      <c r="J23" s="61" t="str">
        <f t="shared" si="5"/>
        <v/>
      </c>
      <c r="K23" s="140" t="str">
        <f t="shared" si="6"/>
        <v/>
      </c>
      <c r="L23" s="121" t="str">
        <f t="shared" si="28"/>
        <v/>
      </c>
      <c r="M23" s="44"/>
      <c r="N23" s="50" t="s">
        <v>26</v>
      </c>
      <c r="O23" s="53"/>
      <c r="P23" s="56">
        <f t="shared" si="7"/>
        <v>0</v>
      </c>
      <c r="Q23" s="50" t="s">
        <v>26</v>
      </c>
      <c r="R23" s="155"/>
      <c r="S23" s="151">
        <f t="shared" si="8"/>
        <v>0</v>
      </c>
      <c r="T23" s="137" t="s">
        <v>26</v>
      </c>
      <c r="U23" s="53"/>
      <c r="V23" s="56">
        <f t="shared" si="9"/>
        <v>0</v>
      </c>
      <c r="W23" s="50" t="s">
        <v>26</v>
      </c>
      <c r="X23" s="53"/>
      <c r="Y23" s="56">
        <f t="shared" si="10"/>
        <v>0</v>
      </c>
      <c r="Z23" s="50" t="s">
        <v>26</v>
      </c>
      <c r="AA23" s="53"/>
      <c r="AB23" s="56">
        <f t="shared" si="11"/>
        <v>0</v>
      </c>
      <c r="AC23" s="50" t="s">
        <v>26</v>
      </c>
      <c r="AD23" s="53"/>
      <c r="AE23" s="56">
        <f t="shared" si="12"/>
        <v>0</v>
      </c>
      <c r="AF23" s="8"/>
      <c r="AG23" s="77"/>
      <c r="AH23" s="78"/>
      <c r="AI23" s="78"/>
      <c r="AJ23" s="78"/>
      <c r="AK23" s="79"/>
      <c r="AL23" s="8"/>
      <c r="AM23" s="2">
        <f t="shared" si="29"/>
        <v>0</v>
      </c>
      <c r="AN23" s="2">
        <f t="shared" si="30"/>
        <v>0</v>
      </c>
      <c r="AO23" s="2">
        <f t="shared" si="31"/>
        <v>0</v>
      </c>
      <c r="AP23" s="2">
        <f t="shared" si="32"/>
        <v>0</v>
      </c>
      <c r="AQ23" s="2">
        <f t="shared" si="33"/>
        <v>0</v>
      </c>
      <c r="AR23" s="8" t="str">
        <f t="shared" si="43"/>
        <v/>
      </c>
      <c r="AS23" s="8" t="str">
        <f t="shared" si="13"/>
        <v/>
      </c>
      <c r="AT23" s="2" t="str">
        <f t="shared" si="34"/>
        <v>$O$66</v>
      </c>
      <c r="AU23" s="2" t="str">
        <f t="shared" si="14"/>
        <v>$O$66</v>
      </c>
      <c r="AV23" s="2" t="str">
        <f t="shared" si="15"/>
        <v>$O$66</v>
      </c>
      <c r="AW23" s="2" t="str">
        <f t="shared" si="16"/>
        <v>$O$66</v>
      </c>
      <c r="AX23" s="2" t="str">
        <f t="shared" si="17"/>
        <v>$O$66</v>
      </c>
      <c r="AY23" s="2" t="str">
        <f t="shared" si="18"/>
        <v>$O$66</v>
      </c>
      <c r="BB23" s="2" t="str">
        <f t="shared" si="35"/>
        <v>$O$66</v>
      </c>
      <c r="BC23" s="8"/>
      <c r="BD23" s="8" t="e">
        <f t="shared" si="36"/>
        <v>#N/A</v>
      </c>
      <c r="BE23" s="8"/>
      <c r="BF23" s="2" t="e">
        <f t="shared" si="37"/>
        <v>#N/A</v>
      </c>
      <c r="BG23" s="2" t="str">
        <f t="shared" si="38"/>
        <v>$N$70:$N$84</v>
      </c>
      <c r="BH23" s="2" t="str">
        <f t="shared" si="19"/>
        <v/>
      </c>
      <c r="BI23" s="8" t="str">
        <f t="shared" si="20"/>
        <v/>
      </c>
      <c r="BJ23" s="2">
        <f t="shared" si="21"/>
        <v>0</v>
      </c>
      <c r="BK23" s="2">
        <f t="shared" si="39"/>
        <v>0</v>
      </c>
      <c r="BL23" s="2">
        <v>16</v>
      </c>
      <c r="BM23" s="2" t="e">
        <f t="shared" si="22"/>
        <v>#N/A</v>
      </c>
      <c r="BN23" s="2" t="str">
        <f>IFERROR(VLOOKUP(BM23,PLAYERS,2,FALSE),"")</f>
        <v/>
      </c>
      <c r="BO23" s="2" t="str">
        <f t="shared" si="24"/>
        <v/>
      </c>
      <c r="BP23" s="2" t="str">
        <f>IF(BN23&lt;&gt;"",VLOOKUP(BM23,PLAYERS,4,FALSE),"")</f>
        <v/>
      </c>
      <c r="BQ23" s="2" t="str">
        <f t="shared" si="26"/>
        <v/>
      </c>
      <c r="BR23" s="2" t="str">
        <f>IF(BP23="BG",BQ26,"")</f>
        <v/>
      </c>
      <c r="BV23" s="8" t="e">
        <f t="shared" si="27"/>
        <v>#N/A</v>
      </c>
      <c r="BW23" s="8" t="e">
        <f t="shared" si="42"/>
        <v>#N/A</v>
      </c>
      <c r="BX23" s="8"/>
      <c r="BY23" s="8"/>
      <c r="BZ23" s="8"/>
      <c r="CA23" s="8"/>
      <c r="CB23" s="8"/>
      <c r="CC23" s="8"/>
      <c r="CD23" s="8"/>
      <c r="CE23" s="8"/>
      <c r="CF23" s="8"/>
      <c r="CG23" s="8"/>
      <c r="CH23" s="8"/>
      <c r="CI23" s="8"/>
      <c r="CJ23" s="8"/>
      <c r="CK23" s="8"/>
      <c r="CL23" s="8"/>
      <c r="CM23" s="8"/>
    </row>
    <row r="24" spans="1:91" s="2" customFormat="1" ht="30" hidden="1" customHeight="1" x14ac:dyDescent="0.25">
      <c r="A24" s="8"/>
      <c r="B24" s="11" t="s">
        <v>524</v>
      </c>
      <c r="C24" s="18"/>
      <c r="D24" s="28" t="s">
        <v>197</v>
      </c>
      <c r="E24" s="26" t="str">
        <f>IFERROR(VLOOKUP(C24,StarplayerList,3,FALSE),"")</f>
        <v/>
      </c>
      <c r="F24" s="26" t="str">
        <f>IFERROR(VLOOKUP(C24,StarplayerList,4,FALSE),"")</f>
        <v/>
      </c>
      <c r="G24" s="69" t="str">
        <f>IFERROR(VLOOKUP(C24,StarplayerList,5,FALSE),"")</f>
        <v/>
      </c>
      <c r="H24" s="69" t="str">
        <f>IFERROR(VLOOKUP(C24,StarplayerList,6,FALSE),"")</f>
        <v/>
      </c>
      <c r="I24" s="69" t="str">
        <f>IFERROR(VLOOKUP(C24,StarplayerList,7,FALSE),"")</f>
        <v/>
      </c>
      <c r="J24" s="60" t="str">
        <f>IFERROR(VLOOKUP(C24,StarplayerList,8,FALSE),"")</f>
        <v/>
      </c>
      <c r="K24" s="387"/>
      <c r="L24" s="388"/>
      <c r="M24" s="8"/>
      <c r="N24" s="8"/>
      <c r="O24" s="8"/>
      <c r="P24" s="7"/>
      <c r="Q24" s="8"/>
      <c r="R24" s="8"/>
      <c r="S24" s="7"/>
      <c r="T24" s="8"/>
      <c r="U24" s="8"/>
      <c r="V24" s="7"/>
      <c r="W24" s="8"/>
      <c r="X24" s="8"/>
      <c r="Y24" s="7"/>
      <c r="Z24" s="8"/>
      <c r="AA24" s="8"/>
      <c r="AB24" s="7"/>
      <c r="AC24" s="8"/>
      <c r="AD24" s="8"/>
      <c r="AE24" s="7"/>
      <c r="AF24" s="8"/>
      <c r="AG24" s="8"/>
      <c r="AH24" s="8"/>
      <c r="AI24" s="8"/>
      <c r="AJ24" s="8"/>
      <c r="AK24" s="8"/>
      <c r="AL24" s="8"/>
      <c r="AR24" s="8"/>
      <c r="AS24" s="8"/>
      <c r="BC24" s="8"/>
      <c r="BD24" s="8"/>
      <c r="BE24" s="8"/>
      <c r="BF24" s="8"/>
      <c r="BH24" s="8"/>
      <c r="BI24" s="8"/>
      <c r="BL24" s="2">
        <v>17</v>
      </c>
      <c r="BM24" s="2" t="e">
        <f t="shared" si="22"/>
        <v>#N/A</v>
      </c>
      <c r="BN24" s="2" t="str">
        <f t="shared" ref="BN24:BN25" si="44">IFERROR(VLOOKUP(BM24,PLAYERS,2,FALSE),"")</f>
        <v/>
      </c>
      <c r="BO24" s="2">
        <v>1</v>
      </c>
      <c r="BQ24" s="2" t="str">
        <f>IF($C$24&lt;&gt;"",COUNTIF($C$24:$C$25,$C$24),"")</f>
        <v/>
      </c>
      <c r="BV24" s="8" t="e">
        <f t="shared" si="27"/>
        <v>#N/A</v>
      </c>
      <c r="BW24" s="8" t="e">
        <f t="shared" si="42"/>
        <v>#N/A</v>
      </c>
      <c r="BX24" s="8"/>
      <c r="BY24" s="8"/>
      <c r="BZ24" s="8"/>
      <c r="CA24" s="8"/>
      <c r="CB24" s="8"/>
      <c r="CC24" s="8"/>
      <c r="CD24" s="8"/>
      <c r="CE24" s="8"/>
      <c r="CF24" s="8"/>
      <c r="CG24" s="8"/>
      <c r="CH24" s="8"/>
      <c r="CI24" s="8"/>
      <c r="CJ24" s="8"/>
      <c r="CK24" s="8"/>
      <c r="CL24" s="8"/>
      <c r="CM24" s="8"/>
    </row>
    <row r="25" spans="1:91" s="2" customFormat="1" ht="30" hidden="1" customHeight="1" thickBot="1" x14ac:dyDescent="0.3">
      <c r="A25" s="8"/>
      <c r="B25" s="10" t="s">
        <v>525</v>
      </c>
      <c r="C25" s="19"/>
      <c r="D25" s="29" t="s">
        <v>197</v>
      </c>
      <c r="E25" s="27" t="str">
        <f>IFERROR(VLOOKUP(C25,StarplayerList,3,FALSE),"")</f>
        <v/>
      </c>
      <c r="F25" s="27" t="str">
        <f>IFERROR(VLOOKUP(C25,StarplayerList,4,FALSE),"")</f>
        <v/>
      </c>
      <c r="G25" s="70" t="str">
        <f>IFERROR(VLOOKUP(C25,StarplayerList,5,FALSE),"")</f>
        <v/>
      </c>
      <c r="H25" s="70" t="str">
        <f>IFERROR(VLOOKUP(C25,StarplayerList,6,FALSE),"")</f>
        <v/>
      </c>
      <c r="I25" s="70" t="str">
        <f>IFERROR(VLOOKUP(C25,StarplayerList,7,FALSE),"")</f>
        <v/>
      </c>
      <c r="J25" s="61" t="str">
        <f>IFERROR(VLOOKUP(C25,StarplayerList,8,FALSE),"")</f>
        <v/>
      </c>
      <c r="K25" s="389"/>
      <c r="L25" s="390"/>
      <c r="M25" s="8"/>
      <c r="N25" s="8"/>
      <c r="O25" s="8"/>
      <c r="P25" s="7"/>
      <c r="Q25" s="8"/>
      <c r="R25" s="8"/>
      <c r="S25" s="7"/>
      <c r="T25" s="8"/>
      <c r="U25" s="8"/>
      <c r="V25" s="7"/>
      <c r="W25" s="8"/>
      <c r="X25" s="8"/>
      <c r="Y25" s="7"/>
      <c r="Z25" s="8"/>
      <c r="AA25" s="8"/>
      <c r="AB25" s="7"/>
      <c r="AC25" s="8"/>
      <c r="AD25" s="8"/>
      <c r="AE25" s="7"/>
      <c r="AF25" s="8"/>
      <c r="AG25" s="8"/>
      <c r="AH25" s="8"/>
      <c r="AI25" s="8"/>
      <c r="AJ25" s="8"/>
      <c r="AK25" s="8"/>
      <c r="AL25" s="8"/>
      <c r="AR25" s="8"/>
      <c r="AS25" s="8"/>
      <c r="BC25" s="8"/>
      <c r="BD25" s="8"/>
      <c r="BE25" s="8"/>
      <c r="BF25" s="8"/>
      <c r="BH25" s="8"/>
      <c r="BI25" s="8"/>
      <c r="BL25" s="2">
        <v>18</v>
      </c>
      <c r="BM25" s="2" t="e">
        <f t="shared" si="22"/>
        <v>#N/A</v>
      </c>
      <c r="BN25" s="2" t="str">
        <f t="shared" si="44"/>
        <v/>
      </c>
      <c r="BO25" s="2">
        <v>1</v>
      </c>
      <c r="BQ25" s="2" t="str">
        <f>IF($C$25&lt;&gt;"",COUNTIF($C$24:$C$25,$C$25),"")</f>
        <v/>
      </c>
      <c r="BV25" s="8" t="e">
        <f t="shared" si="27"/>
        <v>#N/A</v>
      </c>
      <c r="BW25" s="8" t="e">
        <f t="shared" si="42"/>
        <v>#N/A</v>
      </c>
      <c r="BX25" s="8"/>
      <c r="BY25" s="8"/>
      <c r="BZ25" s="8"/>
      <c r="CA25" s="8"/>
      <c r="CB25" s="8"/>
      <c r="CC25" s="8"/>
      <c r="CD25" s="8"/>
      <c r="CE25" s="8"/>
      <c r="CF25" s="8"/>
      <c r="CG25" s="8"/>
      <c r="CH25" s="8"/>
      <c r="CI25" s="8"/>
      <c r="CJ25" s="8"/>
      <c r="CK25" s="8"/>
      <c r="CL25" s="8"/>
      <c r="CM25" s="8"/>
    </row>
    <row r="26" spans="1:91" s="2" customFormat="1" ht="30" hidden="1" customHeight="1" thickBot="1" x14ac:dyDescent="0.3">
      <c r="A26" s="8"/>
      <c r="B26" s="25"/>
      <c r="C26" s="399" t="s">
        <v>206</v>
      </c>
      <c r="D26" s="399"/>
      <c r="E26" s="89" t="e">
        <f>COUNTIF(#REF!,F26)</f>
        <v>#REF!</v>
      </c>
      <c r="F26" s="398" t="s">
        <v>624</v>
      </c>
      <c r="G26" s="398"/>
      <c r="H26" s="398"/>
      <c r="I26" s="398"/>
      <c r="J26" s="90"/>
      <c r="K26" s="62"/>
      <c r="L26" s="12"/>
      <c r="M26" s="8"/>
      <c r="N26" s="8"/>
      <c r="O26" s="8"/>
      <c r="P26" s="7"/>
      <c r="Q26" s="8"/>
      <c r="R26" s="8"/>
      <c r="S26" s="7"/>
      <c r="T26" s="8"/>
      <c r="U26" s="8"/>
      <c r="V26" s="7"/>
      <c r="W26" s="8"/>
      <c r="X26" s="8"/>
      <c r="Y26" s="7"/>
      <c r="Z26" s="8"/>
      <c r="AA26" s="8"/>
      <c r="AB26" s="7"/>
      <c r="AC26" s="8"/>
      <c r="AD26" s="8"/>
      <c r="AE26" s="7"/>
      <c r="AF26" s="8"/>
      <c r="AG26" s="8"/>
      <c r="AH26" s="8"/>
      <c r="AI26" s="8"/>
      <c r="AJ26" s="8"/>
      <c r="AK26" s="8"/>
      <c r="AL26" s="8"/>
      <c r="AR26" s="8"/>
      <c r="AS26" s="8"/>
      <c r="BC26" s="8"/>
      <c r="BD26" s="8"/>
      <c r="BE26" s="8"/>
      <c r="BF26" s="8"/>
      <c r="BH26" s="8"/>
      <c r="BI26" s="8"/>
      <c r="BP26" s="122" t="s">
        <v>207</v>
      </c>
      <c r="BQ26" s="2">
        <f>SUM(BQ24:BQ25)</f>
        <v>0</v>
      </c>
      <c r="BV26" s="8"/>
      <c r="BW26" s="8"/>
      <c r="BX26" s="8"/>
      <c r="BY26" s="8"/>
      <c r="BZ26" s="8"/>
      <c r="CA26" s="8"/>
      <c r="CB26" s="8"/>
      <c r="CC26" s="8"/>
      <c r="CD26" s="8"/>
      <c r="CE26" s="8"/>
      <c r="CF26" s="8"/>
      <c r="CG26" s="8"/>
      <c r="CH26" s="8"/>
      <c r="CI26" s="8"/>
      <c r="CJ26" s="8"/>
      <c r="CK26" s="8"/>
      <c r="CL26" s="8"/>
      <c r="CM26" s="8"/>
    </row>
    <row r="27" spans="1:91" s="6" customFormat="1" ht="15.75" thickBot="1" x14ac:dyDescent="0.3">
      <c r="B27" s="22"/>
      <c r="E27" s="87"/>
      <c r="F27" s="87"/>
      <c r="G27" s="87"/>
      <c r="H27" s="87"/>
      <c r="I27" s="87"/>
      <c r="P27" s="16"/>
      <c r="S27" s="16"/>
      <c r="V27" s="16"/>
      <c r="Y27" s="16"/>
      <c r="AB27" s="16"/>
      <c r="AE27" s="16"/>
    </row>
    <row r="28" spans="1:91" s="6" customFormat="1" ht="14.45" customHeight="1" thickBot="1" x14ac:dyDescent="0.3">
      <c r="B28" s="391" t="s">
        <v>805</v>
      </c>
      <c r="C28" s="392"/>
      <c r="D28" s="393"/>
      <c r="E28" s="394">
        <f>1150000-E39</f>
        <v>1150000</v>
      </c>
      <c r="F28" s="394"/>
      <c r="G28" s="395"/>
      <c r="H28" s="127"/>
      <c r="I28" s="127"/>
      <c r="J28" s="126" t="str">
        <f>IF($BS$7,"Roster Slots von einem Spielertypen überschritten","")</f>
        <v/>
      </c>
      <c r="M28" s="24"/>
      <c r="P28" s="16"/>
      <c r="S28" s="16"/>
      <c r="V28" s="16"/>
      <c r="Y28" s="16"/>
      <c r="AB28" s="16"/>
      <c r="AE28" s="16"/>
    </row>
    <row r="29" spans="1:91" s="6" customFormat="1" ht="15" customHeight="1" x14ac:dyDescent="0.25">
      <c r="B29" s="131">
        <v>0</v>
      </c>
      <c r="C29" s="132" t="s">
        <v>11</v>
      </c>
      <c r="D29" s="128">
        <v>10000</v>
      </c>
      <c r="E29" s="396">
        <f>B29*D29</f>
        <v>0</v>
      </c>
      <c r="F29" s="396"/>
      <c r="G29" s="397"/>
      <c r="H29" s="127"/>
      <c r="I29" s="127"/>
      <c r="J29" s="126" t="str">
        <f>IFERROR(IF(BR7&gt;BR4,"Maximale Anzahl von Big Guys überschritten",""),"")</f>
        <v/>
      </c>
      <c r="M29" s="24"/>
      <c r="P29" s="16"/>
      <c r="S29" s="16"/>
      <c r="V29" s="16"/>
      <c r="Y29" s="16"/>
      <c r="AB29" s="16"/>
      <c r="AE29" s="16"/>
    </row>
    <row r="30" spans="1:91" s="6" customFormat="1" ht="14.45" customHeight="1" x14ac:dyDescent="0.25">
      <c r="B30" s="129">
        <v>0</v>
      </c>
      <c r="C30" s="130" t="s">
        <v>12</v>
      </c>
      <c r="D30" s="128">
        <f>1000*IFERROR(VLOOKUP($D$4,Teams!B2:F31,5,FALSE),0)</f>
        <v>0</v>
      </c>
      <c r="E30" s="385">
        <f>B30*D30</f>
        <v>0</v>
      </c>
      <c r="F30" s="385"/>
      <c r="G30" s="386"/>
      <c r="H30" s="127"/>
      <c r="I30" s="127"/>
      <c r="J30" s="46" t="str">
        <f>IFERROR(IF($BW$7,"A Starplayer can only be chosen ONCE",""),"")</f>
        <v/>
      </c>
      <c r="M30" s="24"/>
      <c r="P30" s="16"/>
      <c r="S30" s="16"/>
      <c r="V30" s="16"/>
      <c r="Y30" s="16"/>
      <c r="AB30" s="16"/>
      <c r="AE30" s="16"/>
    </row>
    <row r="31" spans="1:91" s="6" customFormat="1" ht="15" customHeight="1" x14ac:dyDescent="0.25">
      <c r="B31" s="129">
        <v>0</v>
      </c>
      <c r="C31" s="130" t="s">
        <v>13</v>
      </c>
      <c r="D31" s="128">
        <v>10000</v>
      </c>
      <c r="E31" s="385">
        <f>B31*D31</f>
        <v>0</v>
      </c>
      <c r="F31" s="385"/>
      <c r="G31" s="386"/>
      <c r="H31" s="127"/>
      <c r="I31" s="127"/>
      <c r="J31" s="46" t="str">
        <f>IFERROR(IF(COUNTIF($N$8:$Q$23,"Secondary")&gt;$Y$39,"You have taken too many Secondary Skills",""),"")</f>
        <v/>
      </c>
      <c r="M31" s="24"/>
      <c r="P31" s="16"/>
      <c r="S31" s="16"/>
      <c r="V31" s="16"/>
      <c r="Y31" s="16"/>
      <c r="AB31" s="16"/>
      <c r="AE31" s="16"/>
    </row>
    <row r="32" spans="1:91" s="6" customFormat="1" ht="15" customHeight="1" x14ac:dyDescent="0.25">
      <c r="B32" s="129">
        <v>0</v>
      </c>
      <c r="C32" s="130" t="s">
        <v>14</v>
      </c>
      <c r="D32" s="128">
        <v>10000</v>
      </c>
      <c r="E32" s="385">
        <f>B32*D32</f>
        <v>0</v>
      </c>
      <c r="F32" s="385"/>
      <c r="G32" s="386"/>
      <c r="H32" s="127"/>
      <c r="I32" s="127"/>
      <c r="J32" s="46" t="str">
        <f>IFERROR(IF(COUNTIF($N$8:$Q$23,"Characteristic Improvment")&gt;$Y$38,"You have taken too many Characteristic Improvments",""),"")</f>
        <v/>
      </c>
      <c r="K32" s="133"/>
      <c r="L32" s="133"/>
      <c r="M32" s="24"/>
      <c r="P32" s="16"/>
      <c r="S32" s="16"/>
      <c r="V32" s="16"/>
      <c r="Y32" s="16"/>
      <c r="AB32" s="16"/>
      <c r="AE32" s="16"/>
    </row>
    <row r="33" spans="2:41" s="6" customFormat="1" x14ac:dyDescent="0.25">
      <c r="B33" s="129">
        <v>0</v>
      </c>
      <c r="C33" s="130" t="s">
        <v>817</v>
      </c>
      <c r="D33" s="128">
        <v>50000</v>
      </c>
      <c r="E33" s="385">
        <f t="shared" ref="E33:E35" si="45">B33*D33</f>
        <v>0</v>
      </c>
      <c r="F33" s="385"/>
      <c r="G33" s="386"/>
      <c r="H33" s="87"/>
      <c r="I33" s="87"/>
      <c r="P33" s="16"/>
      <c r="S33" s="16"/>
      <c r="V33" s="16"/>
      <c r="Y33" s="16"/>
      <c r="AB33" s="16"/>
      <c r="AE33" s="16"/>
    </row>
    <row r="34" spans="2:41" s="6" customFormat="1" x14ac:dyDescent="0.25">
      <c r="B34" s="129">
        <v>0</v>
      </c>
      <c r="C34" s="130" t="s">
        <v>818</v>
      </c>
      <c r="D34" s="128">
        <f>AC39</f>
        <v>100000</v>
      </c>
      <c r="E34" s="385">
        <f t="shared" si="45"/>
        <v>0</v>
      </c>
      <c r="F34" s="385"/>
      <c r="G34" s="386"/>
      <c r="H34" s="87"/>
      <c r="I34" s="87"/>
      <c r="P34" s="16"/>
      <c r="S34" s="16"/>
      <c r="V34" s="16"/>
      <c r="Y34" s="16"/>
      <c r="AB34" s="16"/>
      <c r="AE34" s="16"/>
    </row>
    <row r="35" spans="2:41" s="6" customFormat="1" x14ac:dyDescent="0.25">
      <c r="B35" s="129">
        <v>0</v>
      </c>
      <c r="C35" s="130" t="s">
        <v>819</v>
      </c>
      <c r="D35" s="128">
        <f>AB39</f>
        <v>300000</v>
      </c>
      <c r="E35" s="385">
        <f t="shared" si="45"/>
        <v>0</v>
      </c>
      <c r="F35" s="385"/>
      <c r="G35" s="386"/>
      <c r="H35" s="87"/>
      <c r="I35" s="87"/>
      <c r="P35" s="16"/>
      <c r="S35" s="16"/>
      <c r="V35" s="16"/>
      <c r="Y35" s="16"/>
      <c r="AB35" s="16"/>
      <c r="AE35" s="16"/>
    </row>
    <row r="36" spans="2:41" x14ac:dyDescent="0.25">
      <c r="B36" s="129">
        <v>0</v>
      </c>
      <c r="C36" s="130" t="s">
        <v>816</v>
      </c>
      <c r="D36" s="142" t="s">
        <v>815</v>
      </c>
      <c r="E36" s="385">
        <f>IF(B36&lt;1,B36*50000,(B36-1)*100000+50000)</f>
        <v>0</v>
      </c>
      <c r="F36" s="385"/>
      <c r="G36" s="386"/>
      <c r="H36" s="87"/>
      <c r="I36" s="87"/>
      <c r="J36" s="6"/>
      <c r="K36" s="6"/>
      <c r="L36" s="6"/>
      <c r="M36" s="6"/>
      <c r="N36" s="6"/>
      <c r="O36" s="6"/>
      <c r="P36" s="16"/>
      <c r="Q36" s="6"/>
      <c r="R36" s="6"/>
      <c r="S36" s="16"/>
      <c r="AO36" s="6"/>
    </row>
    <row r="37" spans="2:41" x14ac:dyDescent="0.25">
      <c r="B37" s="129">
        <v>0</v>
      </c>
      <c r="C37" s="143" t="str">
        <f>AA39</f>
        <v/>
      </c>
      <c r="D37" s="128">
        <v>100000</v>
      </c>
      <c r="E37" s="385">
        <f>B37*D37</f>
        <v>0</v>
      </c>
      <c r="F37" s="385"/>
      <c r="G37" s="386"/>
      <c r="H37" s="87"/>
      <c r="J37" s="144"/>
      <c r="K37" s="6"/>
      <c r="L37" s="6"/>
      <c r="M37" s="6"/>
      <c r="N37" s="6"/>
      <c r="O37" s="6"/>
      <c r="P37" s="16"/>
      <c r="Q37" s="6"/>
      <c r="R37" s="6"/>
      <c r="S37" s="16"/>
      <c r="Y37" s="1" t="s">
        <v>822</v>
      </c>
      <c r="AA37" t="s">
        <v>824</v>
      </c>
    </row>
    <row r="38" spans="2:41" ht="15.75" thickBot="1" x14ac:dyDescent="0.3">
      <c r="B38" s="129">
        <v>0</v>
      </c>
      <c r="C38" s="143" t="s">
        <v>824</v>
      </c>
      <c r="D38" s="128">
        <f>AA38</f>
        <v>100000</v>
      </c>
      <c r="E38" s="385">
        <f>B38*D38</f>
        <v>0</v>
      </c>
      <c r="F38" s="385"/>
      <c r="G38" s="386"/>
      <c r="H38" s="87"/>
      <c r="I38" s="87"/>
      <c r="J38" s="6"/>
      <c r="K38" s="6"/>
      <c r="L38" s="6"/>
      <c r="M38" s="6"/>
      <c r="N38" s="6"/>
      <c r="O38" s="6"/>
      <c r="P38" s="16"/>
      <c r="Q38" s="6"/>
      <c r="R38" s="6"/>
      <c r="S38" s="16"/>
      <c r="X38" t="e">
        <f>X39-Q2</f>
        <v>#N/A</v>
      </c>
      <c r="Y38" s="1">
        <f>IF(L2=5,2,0)</f>
        <v>0</v>
      </c>
      <c r="AA38">
        <f>IF(ISNUMBER(SEARCH("LCL",$BN$4)),80000,100000)</f>
        <v>100000</v>
      </c>
    </row>
    <row r="39" spans="2:41" ht="15.75" thickBot="1" x14ac:dyDescent="0.3">
      <c r="B39" s="391" t="s">
        <v>804</v>
      </c>
      <c r="C39" s="392"/>
      <c r="D39" s="392"/>
      <c r="E39" s="455">
        <f>SUM(K8:K25)+SUM(E29:G38)</f>
        <v>0</v>
      </c>
      <c r="F39" s="455"/>
      <c r="G39" s="456"/>
      <c r="H39" s="87"/>
      <c r="I39" s="87"/>
      <c r="J39" s="6"/>
      <c r="K39" s="6"/>
      <c r="L39" s="6"/>
      <c r="M39" s="6"/>
      <c r="N39" s="6"/>
      <c r="O39" s="6"/>
      <c r="P39" s="16"/>
      <c r="Q39" s="6"/>
      <c r="R39" s="6"/>
      <c r="S39" s="16"/>
      <c r="V39" s="141" t="s">
        <v>813</v>
      </c>
      <c r="W39" t="str">
        <f>L2</f>
        <v>-</v>
      </c>
      <c r="X39" t="e">
        <f>VLOOKUP($W$39,$W$41:$X$45,2,FALSE)</f>
        <v>#N/A</v>
      </c>
      <c r="Y39" t="e">
        <f>VLOOKUP($W$39,$W$41:$Y$45,3,FALSE)</f>
        <v>#N/A</v>
      </c>
      <c r="Z39" t="str">
        <f>IFERROR(VLOOKUP($D$4,Teams!$B$2:'Teams'!$I$31,6,FALSE),"-")</f>
        <v>-</v>
      </c>
      <c r="AA39" t="str">
        <f>IF(ISNUMBER(SEARCH("LCL",$BN$4)),"Riotous Rookies",IF(ISNUMBER(SEARCH("NGL",$BN$4)),"Plague Doctor",IF(ISNUMBER(SEARCH("SSL",$BN$4)),"Mortuary Assistant","")))</f>
        <v/>
      </c>
      <c r="AB39">
        <f>IF(ISNUMBER(SEARCH("HTC",$BN$4)),100000,300000)</f>
        <v>300000</v>
      </c>
      <c r="AC39">
        <f>IF(ISNUMBER(SEARCH("BAC",$BN$4)),50000,100000)</f>
        <v>100000</v>
      </c>
      <c r="AD39" s="4" t="s">
        <v>814</v>
      </c>
    </row>
    <row r="40" spans="2:41" x14ac:dyDescent="0.25">
      <c r="B40" s="22"/>
      <c r="C40" s="6"/>
      <c r="D40" s="6"/>
      <c r="E40" s="87"/>
      <c r="F40" s="87"/>
      <c r="G40" s="87"/>
      <c r="H40" s="87"/>
      <c r="I40" s="87"/>
      <c r="J40" s="6"/>
      <c r="K40" s="6"/>
      <c r="L40" s="6"/>
      <c r="M40" s="6"/>
      <c r="N40" s="6"/>
      <c r="O40" s="6"/>
      <c r="P40" s="16"/>
      <c r="Q40" s="6"/>
      <c r="R40" s="6"/>
      <c r="S40" s="16"/>
      <c r="W40" t="s">
        <v>521</v>
      </c>
      <c r="X40" t="s">
        <v>811</v>
      </c>
      <c r="Y40" s="1" t="s">
        <v>812</v>
      </c>
      <c r="Z40" t="s">
        <v>677</v>
      </c>
    </row>
    <row r="41" spans="2:41" hidden="1" x14ac:dyDescent="0.25">
      <c r="B41" s="22"/>
      <c r="C41" s="6"/>
      <c r="D41" s="6"/>
      <c r="E41" s="87"/>
      <c r="F41" s="87"/>
      <c r="G41" s="87"/>
      <c r="H41" s="87"/>
      <c r="I41" s="87"/>
      <c r="J41" s="6"/>
      <c r="K41" s="6"/>
      <c r="L41" s="6"/>
      <c r="W41">
        <v>1</v>
      </c>
      <c r="X41">
        <v>110000</v>
      </c>
      <c r="Y41" s="1">
        <v>1</v>
      </c>
    </row>
    <row r="42" spans="2:41" hidden="1" x14ac:dyDescent="0.25">
      <c r="B42" s="22"/>
      <c r="C42" s="6"/>
      <c r="D42" s="6"/>
      <c r="E42" s="87"/>
      <c r="F42" s="87"/>
      <c r="G42" s="87"/>
      <c r="H42" s="87"/>
      <c r="I42" s="87"/>
      <c r="J42" s="6"/>
      <c r="K42" s="6"/>
      <c r="L42" s="6"/>
      <c r="W42">
        <v>2</v>
      </c>
      <c r="X42">
        <v>130000</v>
      </c>
      <c r="Y42" s="1">
        <v>1</v>
      </c>
    </row>
    <row r="43" spans="2:41" hidden="1" x14ac:dyDescent="0.25">
      <c r="B43" s="22"/>
      <c r="C43" s="6"/>
      <c r="D43" s="6"/>
      <c r="E43" s="87"/>
      <c r="F43" s="87"/>
      <c r="G43" s="87"/>
      <c r="H43" s="87"/>
      <c r="I43" s="87"/>
      <c r="J43" s="6"/>
      <c r="K43" s="6"/>
      <c r="L43" s="6"/>
      <c r="W43">
        <v>3</v>
      </c>
      <c r="X43">
        <v>150000</v>
      </c>
      <c r="Y43" s="1">
        <v>1</v>
      </c>
    </row>
    <row r="44" spans="2:41" hidden="1" x14ac:dyDescent="0.25">
      <c r="B44" s="22"/>
      <c r="C44" s="6"/>
      <c r="D44" s="6"/>
      <c r="E44" s="87"/>
      <c r="F44" s="87"/>
      <c r="G44" s="87"/>
      <c r="H44" s="87"/>
      <c r="I44" s="87"/>
      <c r="J44" s="6"/>
      <c r="K44" s="6"/>
      <c r="L44" s="6"/>
      <c r="N44" s="4" t="s">
        <v>26</v>
      </c>
      <c r="O44">
        <v>0</v>
      </c>
      <c r="P44" s="1">
        <v>0</v>
      </c>
      <c r="Q44">
        <v>0</v>
      </c>
      <c r="R44">
        <v>0</v>
      </c>
      <c r="S44" s="1">
        <v>0</v>
      </c>
      <c r="T44">
        <v>0</v>
      </c>
      <c r="W44">
        <v>4</v>
      </c>
      <c r="X44">
        <v>170000</v>
      </c>
      <c r="Y44" s="1">
        <v>2</v>
      </c>
    </row>
    <row r="45" spans="2:41" hidden="1" x14ac:dyDescent="0.25">
      <c r="B45" s="22"/>
      <c r="C45" s="6"/>
      <c r="D45" s="6"/>
      <c r="E45" s="87"/>
      <c r="F45" s="87"/>
      <c r="G45" s="87"/>
      <c r="H45" s="87"/>
      <c r="I45" s="87"/>
      <c r="J45" s="6"/>
      <c r="K45" s="6"/>
      <c r="L45" s="6"/>
      <c r="N45" t="s">
        <v>306</v>
      </c>
      <c r="O45">
        <v>20</v>
      </c>
      <c r="P45" s="1">
        <v>20</v>
      </c>
      <c r="Q45">
        <v>12</v>
      </c>
      <c r="R45">
        <v>16</v>
      </c>
      <c r="S45" s="1">
        <v>20</v>
      </c>
      <c r="T45">
        <v>30</v>
      </c>
      <c r="W45">
        <v>5</v>
      </c>
      <c r="X45">
        <v>210000</v>
      </c>
      <c r="Y45" s="1">
        <v>32</v>
      </c>
    </row>
    <row r="46" spans="2:41" hidden="1" x14ac:dyDescent="0.25">
      <c r="B46" s="22"/>
      <c r="C46" s="6"/>
      <c r="D46" s="6"/>
      <c r="E46" s="87"/>
      <c r="F46" s="87"/>
      <c r="G46" s="87"/>
      <c r="H46" s="87"/>
      <c r="I46" s="87"/>
      <c r="J46" s="6"/>
      <c r="K46" s="6"/>
      <c r="L46" s="6"/>
      <c r="N46" t="s">
        <v>307</v>
      </c>
      <c r="O46">
        <v>30</v>
      </c>
      <c r="P46" s="1">
        <v>30</v>
      </c>
      <c r="Q46">
        <v>18</v>
      </c>
      <c r="R46">
        <v>22</v>
      </c>
      <c r="S46" s="1">
        <v>26</v>
      </c>
      <c r="T46">
        <v>40</v>
      </c>
    </row>
    <row r="47" spans="2:41" hidden="1" x14ac:dyDescent="0.25">
      <c r="B47" s="22"/>
      <c r="C47" s="6"/>
      <c r="D47" s="6"/>
      <c r="E47" s="87"/>
      <c r="F47" s="87"/>
      <c r="G47" s="87"/>
      <c r="H47" s="87"/>
      <c r="I47" s="87"/>
      <c r="J47" s="6"/>
      <c r="K47" s="6"/>
      <c r="L47" s="6"/>
      <c r="N47" t="str">
        <f>IF($L$2=$W$45,"Characteristic Improvment","")</f>
        <v/>
      </c>
      <c r="O47">
        <f>IF($L$2=$W$45,"ind.",0)</f>
        <v>0</v>
      </c>
      <c r="P47">
        <f>IF($L$2=$W$45,"ind.",0)</f>
        <v>0</v>
      </c>
      <c r="Q47">
        <v>24</v>
      </c>
      <c r="R47">
        <v>28</v>
      </c>
      <c r="S47" s="1">
        <v>32</v>
      </c>
      <c r="T47">
        <v>50</v>
      </c>
    </row>
    <row r="48" spans="2:41" hidden="1" x14ac:dyDescent="0.25">
      <c r="B48" s="22"/>
      <c r="C48" s="6"/>
      <c r="D48" s="6"/>
      <c r="E48" s="87"/>
      <c r="F48" s="87"/>
      <c r="G48" s="87"/>
      <c r="H48" s="87"/>
      <c r="I48" s="87"/>
      <c r="J48" s="6"/>
      <c r="K48" s="6"/>
      <c r="L48" s="6"/>
    </row>
    <row r="49" spans="2:26" hidden="1" x14ac:dyDescent="0.25">
      <c r="B49" s="22"/>
      <c r="C49" s="6"/>
      <c r="D49" s="6"/>
      <c r="E49" s="87"/>
      <c r="F49" s="87"/>
      <c r="G49" s="87"/>
      <c r="H49" s="87"/>
      <c r="I49" s="87"/>
      <c r="J49" s="6"/>
      <c r="K49" s="6"/>
      <c r="L49" s="6"/>
      <c r="N49" t="s">
        <v>24</v>
      </c>
      <c r="P49" t="s">
        <v>28</v>
      </c>
      <c r="Q49" t="s">
        <v>28</v>
      </c>
      <c r="R49" s="1" t="s">
        <v>29</v>
      </c>
      <c r="S49" t="s">
        <v>29</v>
      </c>
      <c r="T49" t="s">
        <v>30</v>
      </c>
      <c r="U49" t="s">
        <v>30</v>
      </c>
      <c r="V49" t="s">
        <v>31</v>
      </c>
      <c r="W49" s="1" t="s">
        <v>31</v>
      </c>
      <c r="X49" s="1" t="s">
        <v>32</v>
      </c>
      <c r="Y49" t="s">
        <v>32</v>
      </c>
      <c r="Z49" s="1"/>
    </row>
    <row r="50" spans="2:26" hidden="1" x14ac:dyDescent="0.25">
      <c r="B50" s="22"/>
      <c r="C50" s="6"/>
      <c r="D50" s="6"/>
      <c r="E50" s="87"/>
      <c r="F50" s="87"/>
      <c r="G50" s="87"/>
      <c r="H50" s="87"/>
      <c r="I50" s="87"/>
      <c r="J50" s="6"/>
      <c r="K50" s="6"/>
      <c r="L50" s="6"/>
      <c r="N50" s="4"/>
      <c r="P50" s="4" t="s">
        <v>538</v>
      </c>
      <c r="Q50" s="4" t="s">
        <v>33</v>
      </c>
      <c r="R50" s="4" t="s">
        <v>539</v>
      </c>
      <c r="S50" s="4" t="s">
        <v>45</v>
      </c>
      <c r="T50" s="4" t="s">
        <v>540</v>
      </c>
      <c r="U50" s="4" t="s">
        <v>57</v>
      </c>
      <c r="V50" s="4" t="s">
        <v>541</v>
      </c>
      <c r="W50" s="4" t="s">
        <v>68</v>
      </c>
      <c r="X50" s="4" t="s">
        <v>542</v>
      </c>
      <c r="Y50" s="4" t="s">
        <v>80</v>
      </c>
      <c r="Z50" s="1"/>
    </row>
    <row r="51" spans="2:26" hidden="1" x14ac:dyDescent="0.25">
      <c r="N51" s="4" t="s">
        <v>806</v>
      </c>
      <c r="O51">
        <v>10</v>
      </c>
      <c r="P51" s="4" t="s">
        <v>543</v>
      </c>
      <c r="Q51" s="4" t="s">
        <v>34</v>
      </c>
      <c r="R51" s="4" t="s">
        <v>544</v>
      </c>
      <c r="S51" s="4" t="s">
        <v>46</v>
      </c>
      <c r="T51" s="4" t="s">
        <v>545</v>
      </c>
      <c r="U51" s="4" t="s">
        <v>58</v>
      </c>
      <c r="V51" s="4" t="s">
        <v>546</v>
      </c>
      <c r="W51" s="4" t="s">
        <v>69</v>
      </c>
      <c r="X51" s="4" t="s">
        <v>547</v>
      </c>
      <c r="Y51" s="4" t="s">
        <v>81</v>
      </c>
      <c r="Z51" s="1"/>
    </row>
    <row r="52" spans="2:26" hidden="1" x14ac:dyDescent="0.25">
      <c r="N52" s="4" t="s">
        <v>807</v>
      </c>
      <c r="O52">
        <v>20</v>
      </c>
      <c r="P52" s="4" t="s">
        <v>548</v>
      </c>
      <c r="Q52" s="4" t="s">
        <v>35</v>
      </c>
      <c r="R52" s="4" t="s">
        <v>549</v>
      </c>
      <c r="S52" s="4" t="s">
        <v>47</v>
      </c>
      <c r="T52" s="4" t="s">
        <v>550</v>
      </c>
      <c r="U52" s="4" t="s">
        <v>59</v>
      </c>
      <c r="V52" s="4" t="s">
        <v>551</v>
      </c>
      <c r="W52" s="4" t="s">
        <v>70</v>
      </c>
      <c r="X52" s="4" t="s">
        <v>552</v>
      </c>
      <c r="Y52" s="4" t="s">
        <v>82</v>
      </c>
      <c r="Z52" s="1"/>
    </row>
    <row r="53" spans="2:26" hidden="1" x14ac:dyDescent="0.25">
      <c r="N53" s="4" t="s">
        <v>808</v>
      </c>
      <c r="O53">
        <v>20</v>
      </c>
      <c r="P53" s="4" t="s">
        <v>553</v>
      </c>
      <c r="Q53" s="4" t="s">
        <v>36</v>
      </c>
      <c r="R53" s="4" t="s">
        <v>554</v>
      </c>
      <c r="S53" s="4" t="s">
        <v>48</v>
      </c>
      <c r="T53" s="4" t="s">
        <v>555</v>
      </c>
      <c r="U53" s="4" t="s">
        <v>60</v>
      </c>
      <c r="V53" s="4" t="s">
        <v>556</v>
      </c>
      <c r="W53" s="4" t="s">
        <v>71</v>
      </c>
      <c r="X53" s="4" t="s">
        <v>557</v>
      </c>
      <c r="Y53" s="4" t="s">
        <v>83</v>
      </c>
      <c r="Z53" s="1"/>
    </row>
    <row r="54" spans="2:26" hidden="1" x14ac:dyDescent="0.25">
      <c r="N54" s="4" t="s">
        <v>809</v>
      </c>
      <c r="O54">
        <v>40</v>
      </c>
      <c r="P54" s="4" t="s">
        <v>558</v>
      </c>
      <c r="Q54" s="4" t="s">
        <v>37</v>
      </c>
      <c r="R54" s="4" t="s">
        <v>559</v>
      </c>
      <c r="S54" s="4" t="s">
        <v>49</v>
      </c>
      <c r="T54" s="4" t="s">
        <v>560</v>
      </c>
      <c r="U54" s="4" t="s">
        <v>61</v>
      </c>
      <c r="V54" s="4" t="s">
        <v>561</v>
      </c>
      <c r="W54" s="4" t="s">
        <v>72</v>
      </c>
      <c r="X54" s="4" t="s">
        <v>562</v>
      </c>
      <c r="Y54" s="4" t="s">
        <v>84</v>
      </c>
      <c r="Z54" s="1"/>
    </row>
    <row r="55" spans="2:26" hidden="1" x14ac:dyDescent="0.25">
      <c r="N55" s="4" t="s">
        <v>810</v>
      </c>
      <c r="O55">
        <v>80</v>
      </c>
      <c r="P55" s="4" t="s">
        <v>563</v>
      </c>
      <c r="Q55" s="4" t="s">
        <v>38</v>
      </c>
      <c r="R55" s="4" t="s">
        <v>564</v>
      </c>
      <c r="S55" s="4" t="s">
        <v>50</v>
      </c>
      <c r="T55" s="4" t="s">
        <v>565</v>
      </c>
      <c r="U55" s="4" t="s">
        <v>62</v>
      </c>
      <c r="V55" s="4" t="s">
        <v>566</v>
      </c>
      <c r="W55" s="4" t="s">
        <v>73</v>
      </c>
      <c r="X55" s="4" t="s">
        <v>567</v>
      </c>
      <c r="Y55" s="4" t="s">
        <v>85</v>
      </c>
      <c r="Z55" s="1"/>
    </row>
    <row r="56" spans="2:26" hidden="1" x14ac:dyDescent="0.25">
      <c r="N56" s="4"/>
      <c r="P56" s="4" t="s">
        <v>593</v>
      </c>
      <c r="Q56" s="4" t="s">
        <v>39</v>
      </c>
      <c r="R56" s="4" t="s">
        <v>594</v>
      </c>
      <c r="S56" s="4" t="s">
        <v>51</v>
      </c>
      <c r="T56" s="4" t="s">
        <v>595</v>
      </c>
      <c r="U56" s="4" t="s">
        <v>63</v>
      </c>
      <c r="V56" s="4" t="s">
        <v>596</v>
      </c>
      <c r="W56" s="4" t="s">
        <v>74</v>
      </c>
      <c r="X56" s="4" t="s">
        <v>597</v>
      </c>
      <c r="Y56" s="4" t="s">
        <v>86</v>
      </c>
      <c r="Z56" s="1"/>
    </row>
    <row r="57" spans="2:26" hidden="1" x14ac:dyDescent="0.25">
      <c r="N57" s="4"/>
      <c r="P57" s="4" t="s">
        <v>588</v>
      </c>
      <c r="Q57" s="4" t="s">
        <v>40</v>
      </c>
      <c r="R57" s="4" t="s">
        <v>589</v>
      </c>
      <c r="S57" s="4" t="s">
        <v>52</v>
      </c>
      <c r="T57" s="4" t="s">
        <v>590</v>
      </c>
      <c r="U57" s="4" t="s">
        <v>64</v>
      </c>
      <c r="V57" s="4" t="s">
        <v>591</v>
      </c>
      <c r="W57" s="4" t="s">
        <v>75</v>
      </c>
      <c r="X57" s="4" t="s">
        <v>592</v>
      </c>
      <c r="Y57" s="4" t="s">
        <v>87</v>
      </c>
      <c r="Z57" s="1"/>
    </row>
    <row r="58" spans="2:26" hidden="1" x14ac:dyDescent="0.25">
      <c r="N58" s="4"/>
      <c r="P58" s="4" t="s">
        <v>583</v>
      </c>
      <c r="Q58" s="4" t="s">
        <v>41</v>
      </c>
      <c r="R58" s="4" t="s">
        <v>584</v>
      </c>
      <c r="S58" s="4" t="s">
        <v>53</v>
      </c>
      <c r="T58" s="4" t="s">
        <v>585</v>
      </c>
      <c r="U58" s="4" t="s">
        <v>65</v>
      </c>
      <c r="V58" s="4" t="s">
        <v>586</v>
      </c>
      <c r="W58" s="4" t="s">
        <v>76</v>
      </c>
      <c r="X58" s="4" t="s">
        <v>587</v>
      </c>
      <c r="Y58" s="4" t="s">
        <v>88</v>
      </c>
      <c r="Z58" s="1"/>
    </row>
    <row r="59" spans="2:26" hidden="1" x14ac:dyDescent="0.25">
      <c r="N59" s="4"/>
      <c r="P59" s="4" t="s">
        <v>578</v>
      </c>
      <c r="Q59" s="4" t="s">
        <v>42</v>
      </c>
      <c r="R59" s="4" t="s">
        <v>579</v>
      </c>
      <c r="S59" s="4" t="s">
        <v>54</v>
      </c>
      <c r="T59" s="4" t="s">
        <v>580</v>
      </c>
      <c r="U59" s="4" t="s">
        <v>66</v>
      </c>
      <c r="V59" s="4" t="s">
        <v>581</v>
      </c>
      <c r="W59" s="4" t="s">
        <v>77</v>
      </c>
      <c r="X59" s="4" t="s">
        <v>582</v>
      </c>
      <c r="Y59" s="4" t="s">
        <v>89</v>
      </c>
      <c r="Z59" s="1"/>
    </row>
    <row r="60" spans="2:26" hidden="1" x14ac:dyDescent="0.25">
      <c r="N60" s="4"/>
      <c r="P60" s="4" t="s">
        <v>573</v>
      </c>
      <c r="Q60" s="4" t="s">
        <v>43</v>
      </c>
      <c r="R60" s="4" t="s">
        <v>574</v>
      </c>
      <c r="S60" s="4" t="s">
        <v>55</v>
      </c>
      <c r="T60" s="4" t="s">
        <v>575</v>
      </c>
      <c r="U60" s="4" t="s">
        <v>67</v>
      </c>
      <c r="V60" s="4" t="s">
        <v>576</v>
      </c>
      <c r="W60" s="4" t="s">
        <v>78</v>
      </c>
      <c r="X60" s="4" t="s">
        <v>577</v>
      </c>
      <c r="Y60" s="4" t="s">
        <v>90</v>
      </c>
      <c r="Z60" s="1"/>
    </row>
    <row r="61" spans="2:26" hidden="1" x14ac:dyDescent="0.25">
      <c r="N61" s="4"/>
      <c r="P61" s="4" t="s">
        <v>568</v>
      </c>
      <c r="Q61" s="4" t="s">
        <v>44</v>
      </c>
      <c r="R61" s="4" t="s">
        <v>569</v>
      </c>
      <c r="S61" s="4" t="s">
        <v>56</v>
      </c>
      <c r="T61" s="4" t="s">
        <v>570</v>
      </c>
      <c r="U61" s="4" t="s">
        <v>314</v>
      </c>
      <c r="V61" s="4" t="s">
        <v>571</v>
      </c>
      <c r="W61" s="4" t="s">
        <v>79</v>
      </c>
      <c r="X61" s="4" t="s">
        <v>572</v>
      </c>
      <c r="Y61" s="4" t="s">
        <v>91</v>
      </c>
      <c r="Z61" s="1"/>
    </row>
    <row r="62" spans="2:26" hidden="1" x14ac:dyDescent="0.25">
      <c r="N62" s="4"/>
      <c r="P62"/>
      <c r="Q62" s="1"/>
      <c r="S62"/>
      <c r="T62" s="1"/>
      <c r="V62"/>
      <c r="W62" s="1"/>
      <c r="Y62"/>
      <c r="Z62" s="1"/>
    </row>
    <row r="63" spans="2:26" hidden="1" x14ac:dyDescent="0.25">
      <c r="N63" s="4"/>
      <c r="P63"/>
      <c r="Q63" s="1"/>
      <c r="S63"/>
      <c r="T63" s="1"/>
      <c r="V63"/>
      <c r="W63" s="1"/>
      <c r="Y63"/>
      <c r="Z63" s="1"/>
    </row>
    <row r="64" spans="2:26" hidden="1" x14ac:dyDescent="0.25">
      <c r="O64">
        <v>0</v>
      </c>
    </row>
    <row r="65" spans="14:60" hidden="1" x14ac:dyDescent="0.25">
      <c r="N65" t="s">
        <v>315</v>
      </c>
    </row>
    <row r="66" spans="14:60" hidden="1" x14ac:dyDescent="0.25">
      <c r="N66" t="str">
        <f>ADDRESS(ROW(),COLUMN()+1,1)</f>
        <v>$O$66</v>
      </c>
    </row>
    <row r="67" spans="14:60" hidden="1" x14ac:dyDescent="0.25">
      <c r="N67" t="s">
        <v>24</v>
      </c>
      <c r="O67" t="s">
        <v>311</v>
      </c>
      <c r="AF67"/>
      <c r="AG67"/>
      <c r="AH67"/>
      <c r="AI67"/>
      <c r="AJ67"/>
      <c r="AK67"/>
      <c r="AM67" t="s">
        <v>312</v>
      </c>
      <c r="AN67"/>
    </row>
    <row r="68" spans="14:60" ht="30" hidden="1" x14ac:dyDescent="0.25">
      <c r="O68" t="s">
        <v>28</v>
      </c>
      <c r="P68" s="1" t="s">
        <v>7</v>
      </c>
      <c r="Q68" t="s">
        <v>118</v>
      </c>
      <c r="R68" t="s">
        <v>295</v>
      </c>
      <c r="S68" s="1" t="s">
        <v>299</v>
      </c>
      <c r="T68" t="s">
        <v>304</v>
      </c>
      <c r="U68" t="s">
        <v>296</v>
      </c>
      <c r="V68" s="1" t="s">
        <v>308</v>
      </c>
      <c r="W68" t="s">
        <v>309</v>
      </c>
      <c r="X68" t="s">
        <v>29</v>
      </c>
      <c r="Y68" s="1" t="s">
        <v>303</v>
      </c>
      <c r="Z68" t="s">
        <v>302</v>
      </c>
      <c r="AA68" t="s">
        <v>294</v>
      </c>
      <c r="AB68" s="1" t="s">
        <v>300</v>
      </c>
      <c r="AC68" t="s">
        <v>297</v>
      </c>
      <c r="AD68" t="s">
        <v>293</v>
      </c>
      <c r="AE68" s="1" t="s">
        <v>298</v>
      </c>
      <c r="AF68" s="1" t="s">
        <v>310</v>
      </c>
      <c r="AG68" t="s">
        <v>301</v>
      </c>
      <c r="AH68" t="s">
        <v>32</v>
      </c>
      <c r="AI68" t="s">
        <v>670</v>
      </c>
      <c r="AJ68" t="s">
        <v>31</v>
      </c>
      <c r="AK68"/>
      <c r="AM68" t="s">
        <v>28</v>
      </c>
      <c r="AN68" s="1" t="s">
        <v>7</v>
      </c>
      <c r="AO68" t="s">
        <v>118</v>
      </c>
      <c r="AP68" t="s">
        <v>295</v>
      </c>
      <c r="AQ68" s="1" t="s">
        <v>299</v>
      </c>
      <c r="AR68" t="s">
        <v>304</v>
      </c>
      <c r="AS68" t="s">
        <v>296</v>
      </c>
      <c r="AT68" s="1" t="s">
        <v>308</v>
      </c>
      <c r="AU68" t="s">
        <v>309</v>
      </c>
      <c r="AV68" t="s">
        <v>29</v>
      </c>
      <c r="AW68" s="1" t="s">
        <v>303</v>
      </c>
      <c r="AX68" t="s">
        <v>302</v>
      </c>
      <c r="AY68" t="s">
        <v>294</v>
      </c>
      <c r="AZ68" s="1" t="s">
        <v>300</v>
      </c>
      <c r="BA68" t="s">
        <v>297</v>
      </c>
      <c r="BB68" t="s">
        <v>293</v>
      </c>
      <c r="BC68" t="s">
        <v>298</v>
      </c>
      <c r="BD68" s="1" t="s">
        <v>310</v>
      </c>
      <c r="BE68" t="s">
        <v>301</v>
      </c>
      <c r="BF68" t="s">
        <v>32</v>
      </c>
      <c r="BG68" t="s">
        <v>670</v>
      </c>
      <c r="BH68" t="s">
        <v>31</v>
      </c>
    </row>
    <row r="69" spans="14:60" hidden="1" x14ac:dyDescent="0.25">
      <c r="N69" t="str">
        <f>CONCATENATE(ADDRESS(ROW()+1,COLUMN()),":",ADDRESS(ROW()+15,COLUMN()))</f>
        <v>$N$70:$N$84</v>
      </c>
      <c r="O69" t="str">
        <f>CONCATENATE(ADDRESS(ROW()+1,COLUMN()),":",ADDRESS(ROW()+40,COLUMN()))</f>
        <v>$O$70:$O$109</v>
      </c>
      <c r="P69" t="str">
        <f t="shared" ref="P69:AJ69" si="46">CONCATENATE(ADDRESS(ROW()+1,COLUMN()),":",ADDRESS(ROW()+40,COLUMN()))</f>
        <v>$P$70:$P$109</v>
      </c>
      <c r="Q69" t="str">
        <f t="shared" si="46"/>
        <v>$Q$70:$Q$109</v>
      </c>
      <c r="R69" t="str">
        <f t="shared" si="46"/>
        <v>$R$70:$R$109</v>
      </c>
      <c r="S69" t="str">
        <f t="shared" si="46"/>
        <v>$S$70:$S$109</v>
      </c>
      <c r="T69" t="str">
        <f t="shared" si="46"/>
        <v>$T$70:$T$109</v>
      </c>
      <c r="U69" t="str">
        <f t="shared" si="46"/>
        <v>$U$70:$U$109</v>
      </c>
      <c r="V69" t="str">
        <f t="shared" si="46"/>
        <v>$V$70:$V$109</v>
      </c>
      <c r="W69" t="str">
        <f t="shared" si="46"/>
        <v>$W$70:$W$109</v>
      </c>
      <c r="X69" t="str">
        <f t="shared" si="46"/>
        <v>$X$70:$X$109</v>
      </c>
      <c r="Y69" t="str">
        <f t="shared" si="46"/>
        <v>$Y$70:$Y$109</v>
      </c>
      <c r="Z69" t="str">
        <f t="shared" si="46"/>
        <v>$Z$70:$Z$109</v>
      </c>
      <c r="AA69" t="str">
        <f t="shared" si="46"/>
        <v>$AA$70:$AA$109</v>
      </c>
      <c r="AB69" t="str">
        <f t="shared" si="46"/>
        <v>$AB$70:$AB$109</v>
      </c>
      <c r="AC69" t="str">
        <f t="shared" si="46"/>
        <v>$AC$70:$AC$109</v>
      </c>
      <c r="AD69" t="str">
        <f t="shared" si="46"/>
        <v>$AD$70:$AD$109</v>
      </c>
      <c r="AE69" t="str">
        <f t="shared" si="46"/>
        <v>$AE$70:$AE$109</v>
      </c>
      <c r="AF69" t="str">
        <f t="shared" si="46"/>
        <v>$AF$70:$AF$109</v>
      </c>
      <c r="AG69" t="str">
        <f t="shared" si="46"/>
        <v>$AG$70:$AG$109</v>
      </c>
      <c r="AH69" t="str">
        <f t="shared" si="46"/>
        <v>$AH$70:$AH$109</v>
      </c>
      <c r="AI69" t="str">
        <f t="shared" si="46"/>
        <v>$AI$70:$AI$109</v>
      </c>
      <c r="AJ69" t="str">
        <f t="shared" si="46"/>
        <v>$AJ$70:$AJ$109</v>
      </c>
      <c r="AK69"/>
      <c r="AM69" t="str">
        <f>CONCATENATE(ADDRESS(ROW()+1,COLUMN()),":",ADDRESS(ROW()+40,COLUMN()))</f>
        <v>$AM$70:$AM$109</v>
      </c>
      <c r="AN69" t="str">
        <f t="shared" ref="AN69:BH69" si="47">CONCATENATE(ADDRESS(ROW()+1,COLUMN()),":",ADDRESS(ROW()+40,COLUMN()))</f>
        <v>$AN$70:$AN$109</v>
      </c>
      <c r="AO69" t="str">
        <f t="shared" si="47"/>
        <v>$AO$70:$AO$109</v>
      </c>
      <c r="AP69" t="str">
        <f t="shared" si="47"/>
        <v>$AP$70:$AP$109</v>
      </c>
      <c r="AQ69" t="str">
        <f t="shared" si="47"/>
        <v>$AQ$70:$AQ$109</v>
      </c>
      <c r="AR69" t="str">
        <f t="shared" si="47"/>
        <v>$AR$70:$AR$109</v>
      </c>
      <c r="AS69" t="str">
        <f t="shared" si="47"/>
        <v>$AS$70:$AS$109</v>
      </c>
      <c r="AT69" t="str">
        <f t="shared" si="47"/>
        <v>$AT$70:$AT$109</v>
      </c>
      <c r="AU69" t="str">
        <f t="shared" si="47"/>
        <v>$AU$70:$AU$109</v>
      </c>
      <c r="AV69" t="str">
        <f t="shared" si="47"/>
        <v>$AV$70:$AV$109</v>
      </c>
      <c r="AW69" t="str">
        <f t="shared" si="47"/>
        <v>$AW$70:$AW$109</v>
      </c>
      <c r="AX69" t="str">
        <f t="shared" si="47"/>
        <v>$AX$70:$AX$109</v>
      </c>
      <c r="AY69" t="str">
        <f t="shared" si="47"/>
        <v>$AY$70:$AY$109</v>
      </c>
      <c r="AZ69" t="str">
        <f t="shared" si="47"/>
        <v>$AZ$70:$AZ$109</v>
      </c>
      <c r="BA69" t="str">
        <f t="shared" si="47"/>
        <v>$BA$70:$BA$109</v>
      </c>
      <c r="BB69" t="str">
        <f t="shared" si="47"/>
        <v>$BB$70:$BB$109</v>
      </c>
      <c r="BC69" t="str">
        <f t="shared" si="47"/>
        <v>$BC$70:$BC$109</v>
      </c>
      <c r="BD69" t="str">
        <f t="shared" si="47"/>
        <v>$BD$70:$BD$109</v>
      </c>
      <c r="BE69" t="str">
        <f t="shared" si="47"/>
        <v>$BE$70:$BE$109</v>
      </c>
      <c r="BF69" t="str">
        <f t="shared" si="47"/>
        <v>$BF$70:$BF$109</v>
      </c>
      <c r="BG69" t="str">
        <f t="shared" si="47"/>
        <v>$BG$70:$BG$109</v>
      </c>
      <c r="BH69" t="str">
        <f t="shared" si="47"/>
        <v>$BH$70:$BH$109</v>
      </c>
    </row>
    <row r="70" spans="14:60" hidden="1" x14ac:dyDescent="0.25">
      <c r="AF70" s="1"/>
      <c r="AI70"/>
      <c r="AJ70"/>
      <c r="AK70"/>
    </row>
    <row r="71" spans="14:60" ht="15" hidden="1" customHeight="1" x14ac:dyDescent="0.25">
      <c r="N71" s="4" t="s">
        <v>806</v>
      </c>
      <c r="O71" s="4" t="s">
        <v>313</v>
      </c>
      <c r="P71" s="4" t="s">
        <v>313</v>
      </c>
      <c r="Q71" s="4" t="s">
        <v>313</v>
      </c>
      <c r="R71" s="4" t="s">
        <v>313</v>
      </c>
      <c r="S71" s="4" t="s">
        <v>313</v>
      </c>
      <c r="T71" s="4" t="s">
        <v>313</v>
      </c>
      <c r="U71" s="4" t="s">
        <v>313</v>
      </c>
      <c r="V71" s="4" t="s">
        <v>313</v>
      </c>
      <c r="W71" s="4" t="s">
        <v>313</v>
      </c>
      <c r="X71" s="4" t="s">
        <v>316</v>
      </c>
      <c r="Y71" s="4" t="s">
        <v>316</v>
      </c>
      <c r="Z71" s="4" t="s">
        <v>316</v>
      </c>
      <c r="AA71" s="4" t="s">
        <v>316</v>
      </c>
      <c r="AB71" s="4" t="s">
        <v>316</v>
      </c>
      <c r="AC71" s="4" t="s">
        <v>316</v>
      </c>
      <c r="AD71" s="4" t="s">
        <v>316</v>
      </c>
      <c r="AE71" s="4" t="s">
        <v>317</v>
      </c>
      <c r="AF71" s="4" t="s">
        <v>317</v>
      </c>
      <c r="AG71" s="4" t="s">
        <v>318</v>
      </c>
      <c r="AH71" s="4" t="s">
        <v>319</v>
      </c>
      <c r="AI71" s="4" t="s">
        <v>313</v>
      </c>
      <c r="AJ71" s="4" t="s">
        <v>318</v>
      </c>
      <c r="AK71"/>
      <c r="AM71" s="4" t="s">
        <v>313</v>
      </c>
      <c r="AN71" s="1" t="s">
        <v>313</v>
      </c>
      <c r="AO71" t="s">
        <v>313</v>
      </c>
      <c r="AP71" t="s">
        <v>313</v>
      </c>
      <c r="AQ71" s="1" t="s">
        <v>313</v>
      </c>
      <c r="AR71" t="s">
        <v>313</v>
      </c>
      <c r="AS71" t="s">
        <v>313</v>
      </c>
      <c r="AT71" s="1" t="s">
        <v>313</v>
      </c>
      <c r="AU71" t="s">
        <v>313</v>
      </c>
      <c r="AV71" s="4" t="s">
        <v>316</v>
      </c>
      <c r="AW71" s="4" t="s">
        <v>316</v>
      </c>
      <c r="AX71" s="4" t="s">
        <v>316</v>
      </c>
      <c r="AY71" s="4" t="s">
        <v>316</v>
      </c>
      <c r="AZ71" s="4" t="s">
        <v>316</v>
      </c>
      <c r="BA71" s="4" t="s">
        <v>316</v>
      </c>
      <c r="BB71" s="4" t="s">
        <v>316</v>
      </c>
      <c r="BC71" s="4" t="s">
        <v>317</v>
      </c>
      <c r="BD71" s="4" t="s">
        <v>317</v>
      </c>
      <c r="BE71" s="4" t="s">
        <v>318</v>
      </c>
      <c r="BF71" s="4" t="s">
        <v>319</v>
      </c>
      <c r="BG71" s="1" t="s">
        <v>313</v>
      </c>
      <c r="BH71" s="4" t="s">
        <v>318</v>
      </c>
    </row>
    <row r="72" spans="14:60" hidden="1" x14ac:dyDescent="0.25">
      <c r="N72" s="4" t="s">
        <v>807</v>
      </c>
      <c r="O72" s="4" t="s">
        <v>538</v>
      </c>
      <c r="P72" s="4" t="s">
        <v>538</v>
      </c>
      <c r="Q72" s="4" t="s">
        <v>538</v>
      </c>
      <c r="R72" s="4" t="s">
        <v>538</v>
      </c>
      <c r="S72" s="4" t="s">
        <v>538</v>
      </c>
      <c r="T72" s="4" t="s">
        <v>538</v>
      </c>
      <c r="U72" s="4" t="s">
        <v>538</v>
      </c>
      <c r="V72" s="4" t="s">
        <v>538</v>
      </c>
      <c r="W72" s="4" t="s">
        <v>538</v>
      </c>
      <c r="X72" s="4" t="s">
        <v>539</v>
      </c>
      <c r="Y72" s="4" t="s">
        <v>539</v>
      </c>
      <c r="Z72" s="4" t="s">
        <v>539</v>
      </c>
      <c r="AA72" s="4" t="s">
        <v>539</v>
      </c>
      <c r="AB72" s="4" t="s">
        <v>539</v>
      </c>
      <c r="AC72" s="4" t="s">
        <v>539</v>
      </c>
      <c r="AD72" s="4" t="s">
        <v>539</v>
      </c>
      <c r="AE72" s="4" t="s">
        <v>540</v>
      </c>
      <c r="AF72" s="4" t="s">
        <v>540</v>
      </c>
      <c r="AG72" s="4" t="s">
        <v>541</v>
      </c>
      <c r="AH72" s="4" t="s">
        <v>542</v>
      </c>
      <c r="AI72" s="4" t="s">
        <v>538</v>
      </c>
      <c r="AJ72" s="4" t="s">
        <v>541</v>
      </c>
      <c r="AK72"/>
      <c r="AM72" s="4" t="s">
        <v>33</v>
      </c>
      <c r="AN72" s="4" t="s">
        <v>33</v>
      </c>
      <c r="AO72" s="4" t="s">
        <v>33</v>
      </c>
      <c r="AP72" s="4" t="s">
        <v>33</v>
      </c>
      <c r="AQ72" s="4" t="s">
        <v>33</v>
      </c>
      <c r="AR72" s="4" t="s">
        <v>33</v>
      </c>
      <c r="AS72" s="4" t="s">
        <v>33</v>
      </c>
      <c r="AT72" s="4" t="s">
        <v>33</v>
      </c>
      <c r="AU72" s="4" t="s">
        <v>33</v>
      </c>
      <c r="AV72" s="4" t="s">
        <v>45</v>
      </c>
      <c r="AW72" s="4" t="s">
        <v>45</v>
      </c>
      <c r="AX72" s="4" t="s">
        <v>45</v>
      </c>
      <c r="AY72" s="4" t="s">
        <v>45</v>
      </c>
      <c r="AZ72" s="4" t="s">
        <v>45</v>
      </c>
      <c r="BA72" s="4" t="s">
        <v>45</v>
      </c>
      <c r="BB72" s="4" t="s">
        <v>45</v>
      </c>
      <c r="BC72" s="4" t="s">
        <v>57</v>
      </c>
      <c r="BD72" s="4" t="s">
        <v>57</v>
      </c>
      <c r="BE72" s="4" t="s">
        <v>68</v>
      </c>
      <c r="BF72" s="4" t="s">
        <v>80</v>
      </c>
      <c r="BG72" s="4" t="s">
        <v>33</v>
      </c>
      <c r="BH72" s="4" t="s">
        <v>68</v>
      </c>
    </row>
    <row r="73" spans="14:60" hidden="1" x14ac:dyDescent="0.25">
      <c r="N73" s="4" t="s">
        <v>808</v>
      </c>
      <c r="O73" s="4" t="s">
        <v>543</v>
      </c>
      <c r="P73" s="4" t="s">
        <v>543</v>
      </c>
      <c r="Q73" s="4" t="s">
        <v>543</v>
      </c>
      <c r="R73" s="4" t="s">
        <v>543</v>
      </c>
      <c r="S73" s="4" t="s">
        <v>543</v>
      </c>
      <c r="T73" s="4" t="s">
        <v>543</v>
      </c>
      <c r="U73" s="4" t="s">
        <v>543</v>
      </c>
      <c r="V73" s="4" t="s">
        <v>543</v>
      </c>
      <c r="W73" s="4" t="s">
        <v>543</v>
      </c>
      <c r="X73" s="4" t="s">
        <v>544</v>
      </c>
      <c r="Y73" s="4" t="s">
        <v>544</v>
      </c>
      <c r="Z73" s="4" t="s">
        <v>544</v>
      </c>
      <c r="AA73" s="4" t="s">
        <v>544</v>
      </c>
      <c r="AB73" s="4" t="s">
        <v>544</v>
      </c>
      <c r="AC73" s="4" t="s">
        <v>544</v>
      </c>
      <c r="AD73" s="4" t="s">
        <v>544</v>
      </c>
      <c r="AE73" s="4" t="s">
        <v>545</v>
      </c>
      <c r="AF73" s="4" t="s">
        <v>545</v>
      </c>
      <c r="AG73" s="4" t="s">
        <v>546</v>
      </c>
      <c r="AH73" s="4" t="s">
        <v>547</v>
      </c>
      <c r="AI73" s="4" t="s">
        <v>543</v>
      </c>
      <c r="AJ73" s="4" t="s">
        <v>546</v>
      </c>
      <c r="AK73"/>
      <c r="AM73" s="4" t="s">
        <v>34</v>
      </c>
      <c r="AN73" s="4" t="s">
        <v>34</v>
      </c>
      <c r="AO73" s="4" t="s">
        <v>34</v>
      </c>
      <c r="AP73" s="4" t="s">
        <v>34</v>
      </c>
      <c r="AQ73" s="4" t="s">
        <v>34</v>
      </c>
      <c r="AR73" s="4" t="s">
        <v>34</v>
      </c>
      <c r="AS73" s="4" t="s">
        <v>34</v>
      </c>
      <c r="AT73" s="4" t="s">
        <v>34</v>
      </c>
      <c r="AU73" s="4" t="s">
        <v>34</v>
      </c>
      <c r="AV73" s="4" t="s">
        <v>46</v>
      </c>
      <c r="AW73" s="4" t="s">
        <v>46</v>
      </c>
      <c r="AX73" s="4" t="s">
        <v>46</v>
      </c>
      <c r="AY73" s="4" t="s">
        <v>46</v>
      </c>
      <c r="AZ73" s="4" t="s">
        <v>46</v>
      </c>
      <c r="BA73" s="4" t="s">
        <v>46</v>
      </c>
      <c r="BB73" s="4" t="s">
        <v>46</v>
      </c>
      <c r="BC73" s="4" t="s">
        <v>58</v>
      </c>
      <c r="BD73" s="4" t="s">
        <v>58</v>
      </c>
      <c r="BE73" s="4" t="s">
        <v>69</v>
      </c>
      <c r="BF73" s="4" t="s">
        <v>81</v>
      </c>
      <c r="BG73" s="4" t="s">
        <v>34</v>
      </c>
      <c r="BH73" s="4" t="s">
        <v>69</v>
      </c>
    </row>
    <row r="74" spans="14:60" hidden="1" x14ac:dyDescent="0.25">
      <c r="N74" s="4" t="s">
        <v>809</v>
      </c>
      <c r="O74" s="4" t="s">
        <v>548</v>
      </c>
      <c r="P74" s="4" t="s">
        <v>548</v>
      </c>
      <c r="Q74" s="4" t="s">
        <v>548</v>
      </c>
      <c r="R74" s="4" t="s">
        <v>548</v>
      </c>
      <c r="S74" s="4" t="s">
        <v>548</v>
      </c>
      <c r="T74" s="4" t="s">
        <v>548</v>
      </c>
      <c r="U74" s="4" t="s">
        <v>548</v>
      </c>
      <c r="V74" s="4" t="s">
        <v>548</v>
      </c>
      <c r="W74" s="4" t="s">
        <v>548</v>
      </c>
      <c r="X74" s="4" t="s">
        <v>549</v>
      </c>
      <c r="Y74" s="4" t="s">
        <v>549</v>
      </c>
      <c r="Z74" s="4" t="s">
        <v>549</v>
      </c>
      <c r="AA74" s="4" t="s">
        <v>549</v>
      </c>
      <c r="AB74" s="4" t="s">
        <v>549</v>
      </c>
      <c r="AC74" s="4" t="s">
        <v>549</v>
      </c>
      <c r="AD74" s="4" t="s">
        <v>549</v>
      </c>
      <c r="AE74" s="4" t="s">
        <v>550</v>
      </c>
      <c r="AF74" s="4" t="s">
        <v>550</v>
      </c>
      <c r="AG74" s="4" t="s">
        <v>551</v>
      </c>
      <c r="AH74" s="4" t="s">
        <v>552</v>
      </c>
      <c r="AI74" s="4" t="s">
        <v>548</v>
      </c>
      <c r="AJ74" s="4" t="s">
        <v>551</v>
      </c>
      <c r="AK74"/>
      <c r="AM74" s="4" t="s">
        <v>35</v>
      </c>
      <c r="AN74" s="4" t="s">
        <v>35</v>
      </c>
      <c r="AO74" s="4" t="s">
        <v>35</v>
      </c>
      <c r="AP74" s="4" t="s">
        <v>35</v>
      </c>
      <c r="AQ74" s="4" t="s">
        <v>35</v>
      </c>
      <c r="AR74" s="4" t="s">
        <v>35</v>
      </c>
      <c r="AS74" s="4" t="s">
        <v>35</v>
      </c>
      <c r="AT74" s="4" t="s">
        <v>35</v>
      </c>
      <c r="AU74" s="4" t="s">
        <v>35</v>
      </c>
      <c r="AV74" s="4" t="s">
        <v>47</v>
      </c>
      <c r="AW74" s="4" t="s">
        <v>47</v>
      </c>
      <c r="AX74" s="4" t="s">
        <v>47</v>
      </c>
      <c r="AY74" s="4" t="s">
        <v>47</v>
      </c>
      <c r="AZ74" s="4" t="s">
        <v>47</v>
      </c>
      <c r="BA74" s="4" t="s">
        <v>47</v>
      </c>
      <c r="BB74" s="4" t="s">
        <v>47</v>
      </c>
      <c r="BC74" s="4" t="s">
        <v>59</v>
      </c>
      <c r="BD74" s="4" t="s">
        <v>59</v>
      </c>
      <c r="BE74" s="4" t="s">
        <v>70</v>
      </c>
      <c r="BF74" s="4" t="s">
        <v>82</v>
      </c>
      <c r="BG74" s="4" t="s">
        <v>35</v>
      </c>
      <c r="BH74" s="4" t="s">
        <v>70</v>
      </c>
    </row>
    <row r="75" spans="14:60" hidden="1" x14ac:dyDescent="0.25">
      <c r="N75" s="4" t="s">
        <v>810</v>
      </c>
      <c r="O75" s="4" t="s">
        <v>553</v>
      </c>
      <c r="P75" s="4" t="s">
        <v>553</v>
      </c>
      <c r="Q75" s="4" t="s">
        <v>553</v>
      </c>
      <c r="R75" s="4" t="s">
        <v>553</v>
      </c>
      <c r="S75" s="4" t="s">
        <v>553</v>
      </c>
      <c r="T75" s="4" t="s">
        <v>553</v>
      </c>
      <c r="U75" s="4" t="s">
        <v>553</v>
      </c>
      <c r="V75" s="4" t="s">
        <v>553</v>
      </c>
      <c r="W75" s="4" t="s">
        <v>553</v>
      </c>
      <c r="X75" s="4" t="s">
        <v>554</v>
      </c>
      <c r="Y75" s="4" t="s">
        <v>554</v>
      </c>
      <c r="Z75" s="4" t="s">
        <v>554</v>
      </c>
      <c r="AA75" s="4" t="s">
        <v>554</v>
      </c>
      <c r="AB75" s="4" t="s">
        <v>554</v>
      </c>
      <c r="AC75" s="4" t="s">
        <v>554</v>
      </c>
      <c r="AD75" s="4" t="s">
        <v>554</v>
      </c>
      <c r="AE75" s="4" t="s">
        <v>555</v>
      </c>
      <c r="AF75" s="4" t="s">
        <v>555</v>
      </c>
      <c r="AG75" s="4" t="s">
        <v>556</v>
      </c>
      <c r="AH75" s="4" t="s">
        <v>557</v>
      </c>
      <c r="AI75" s="4" t="s">
        <v>553</v>
      </c>
      <c r="AJ75" s="4" t="s">
        <v>556</v>
      </c>
      <c r="AK75"/>
      <c r="AM75" s="4" t="s">
        <v>36</v>
      </c>
      <c r="AN75" s="4" t="s">
        <v>36</v>
      </c>
      <c r="AO75" s="4" t="s">
        <v>36</v>
      </c>
      <c r="AP75" s="4" t="s">
        <v>36</v>
      </c>
      <c r="AQ75" s="4" t="s">
        <v>36</v>
      </c>
      <c r="AR75" s="4" t="s">
        <v>36</v>
      </c>
      <c r="AS75" s="4" t="s">
        <v>36</v>
      </c>
      <c r="AT75" s="4" t="s">
        <v>36</v>
      </c>
      <c r="AU75" s="4" t="s">
        <v>36</v>
      </c>
      <c r="AV75" s="4" t="s">
        <v>48</v>
      </c>
      <c r="AW75" s="4" t="s">
        <v>48</v>
      </c>
      <c r="AX75" s="4" t="s">
        <v>48</v>
      </c>
      <c r="AY75" s="4" t="s">
        <v>48</v>
      </c>
      <c r="AZ75" s="4" t="s">
        <v>48</v>
      </c>
      <c r="BA75" s="4" t="s">
        <v>48</v>
      </c>
      <c r="BB75" s="4" t="s">
        <v>48</v>
      </c>
      <c r="BC75" s="4" t="s">
        <v>60</v>
      </c>
      <c r="BD75" s="4" t="s">
        <v>60</v>
      </c>
      <c r="BE75" s="4" t="s">
        <v>71</v>
      </c>
      <c r="BF75" s="4" t="s">
        <v>83</v>
      </c>
      <c r="BG75" s="4" t="s">
        <v>36</v>
      </c>
      <c r="BH75" s="4" t="s">
        <v>71</v>
      </c>
    </row>
    <row r="76" spans="14:60" hidden="1" x14ac:dyDescent="0.25">
      <c r="N76" s="4"/>
      <c r="O76" s="4" t="s">
        <v>558</v>
      </c>
      <c r="P76" s="4" t="s">
        <v>558</v>
      </c>
      <c r="Q76" s="4" t="s">
        <v>558</v>
      </c>
      <c r="R76" s="4" t="s">
        <v>558</v>
      </c>
      <c r="S76" s="4" t="s">
        <v>558</v>
      </c>
      <c r="T76" s="4" t="s">
        <v>558</v>
      </c>
      <c r="U76" s="4" t="s">
        <v>558</v>
      </c>
      <c r="V76" s="4" t="s">
        <v>558</v>
      </c>
      <c r="W76" s="4" t="s">
        <v>558</v>
      </c>
      <c r="X76" s="4" t="s">
        <v>559</v>
      </c>
      <c r="Y76" s="4" t="s">
        <v>559</v>
      </c>
      <c r="Z76" s="4" t="s">
        <v>559</v>
      </c>
      <c r="AA76" s="4" t="s">
        <v>559</v>
      </c>
      <c r="AB76" s="4" t="s">
        <v>559</v>
      </c>
      <c r="AC76" s="4" t="s">
        <v>559</v>
      </c>
      <c r="AD76" s="4" t="s">
        <v>559</v>
      </c>
      <c r="AE76" s="4" t="s">
        <v>560</v>
      </c>
      <c r="AF76" s="4" t="s">
        <v>560</v>
      </c>
      <c r="AG76" s="4" t="s">
        <v>561</v>
      </c>
      <c r="AH76" s="4" t="s">
        <v>562</v>
      </c>
      <c r="AI76" s="4" t="s">
        <v>558</v>
      </c>
      <c r="AJ76" s="4" t="s">
        <v>561</v>
      </c>
      <c r="AK76"/>
      <c r="AM76" s="4" t="s">
        <v>37</v>
      </c>
      <c r="AN76" s="4" t="s">
        <v>37</v>
      </c>
      <c r="AO76" s="4" t="s">
        <v>37</v>
      </c>
      <c r="AP76" s="4" t="s">
        <v>37</v>
      </c>
      <c r="AQ76" s="4" t="s">
        <v>37</v>
      </c>
      <c r="AR76" s="4" t="s">
        <v>37</v>
      </c>
      <c r="AS76" s="4" t="s">
        <v>37</v>
      </c>
      <c r="AT76" s="4" t="s">
        <v>37</v>
      </c>
      <c r="AU76" s="4" t="s">
        <v>37</v>
      </c>
      <c r="AV76" s="4" t="s">
        <v>49</v>
      </c>
      <c r="AW76" s="4" t="s">
        <v>49</v>
      </c>
      <c r="AX76" s="4" t="s">
        <v>49</v>
      </c>
      <c r="AY76" s="4" t="s">
        <v>49</v>
      </c>
      <c r="AZ76" s="4" t="s">
        <v>49</v>
      </c>
      <c r="BA76" s="4" t="s">
        <v>49</v>
      </c>
      <c r="BB76" s="4" t="s">
        <v>49</v>
      </c>
      <c r="BC76" s="4" t="s">
        <v>61</v>
      </c>
      <c r="BD76" s="4" t="s">
        <v>61</v>
      </c>
      <c r="BE76" s="4" t="s">
        <v>72</v>
      </c>
      <c r="BF76" s="4" t="s">
        <v>84</v>
      </c>
      <c r="BG76" s="4" t="s">
        <v>37</v>
      </c>
      <c r="BH76" s="4" t="s">
        <v>72</v>
      </c>
    </row>
    <row r="77" spans="14:60" hidden="1" x14ac:dyDescent="0.25">
      <c r="N77" s="4"/>
      <c r="O77" s="4" t="s">
        <v>563</v>
      </c>
      <c r="P77" s="4" t="s">
        <v>563</v>
      </c>
      <c r="Q77" s="4" t="s">
        <v>563</v>
      </c>
      <c r="R77" s="4" t="s">
        <v>563</v>
      </c>
      <c r="S77" s="4" t="s">
        <v>563</v>
      </c>
      <c r="T77" s="4" t="s">
        <v>563</v>
      </c>
      <c r="U77" s="4" t="s">
        <v>563</v>
      </c>
      <c r="V77" s="4" t="s">
        <v>563</v>
      </c>
      <c r="W77" s="4" t="s">
        <v>563</v>
      </c>
      <c r="X77" s="4" t="s">
        <v>564</v>
      </c>
      <c r="Y77" s="4" t="s">
        <v>564</v>
      </c>
      <c r="Z77" s="4" t="s">
        <v>564</v>
      </c>
      <c r="AA77" s="4" t="s">
        <v>564</v>
      </c>
      <c r="AB77" s="4" t="s">
        <v>564</v>
      </c>
      <c r="AC77" s="4" t="s">
        <v>564</v>
      </c>
      <c r="AD77" s="4" t="s">
        <v>564</v>
      </c>
      <c r="AE77" s="4" t="s">
        <v>565</v>
      </c>
      <c r="AF77" s="4" t="s">
        <v>565</v>
      </c>
      <c r="AG77" s="4" t="s">
        <v>566</v>
      </c>
      <c r="AH77" s="4" t="s">
        <v>567</v>
      </c>
      <c r="AI77" s="4" t="s">
        <v>563</v>
      </c>
      <c r="AJ77" s="4" t="s">
        <v>566</v>
      </c>
      <c r="AK77"/>
      <c r="AM77" s="4" t="s">
        <v>38</v>
      </c>
      <c r="AN77" s="4" t="s">
        <v>38</v>
      </c>
      <c r="AO77" s="4" t="s">
        <v>38</v>
      </c>
      <c r="AP77" s="4" t="s">
        <v>38</v>
      </c>
      <c r="AQ77" s="4" t="s">
        <v>38</v>
      </c>
      <c r="AR77" s="4" t="s">
        <v>38</v>
      </c>
      <c r="AS77" s="4" t="s">
        <v>38</v>
      </c>
      <c r="AT77" s="4" t="s">
        <v>38</v>
      </c>
      <c r="AU77" s="4" t="s">
        <v>38</v>
      </c>
      <c r="AV77" s="4" t="s">
        <v>50</v>
      </c>
      <c r="AW77" s="4" t="s">
        <v>50</v>
      </c>
      <c r="AX77" s="4" t="s">
        <v>50</v>
      </c>
      <c r="AY77" s="4" t="s">
        <v>50</v>
      </c>
      <c r="AZ77" s="4" t="s">
        <v>50</v>
      </c>
      <c r="BA77" s="4" t="s">
        <v>50</v>
      </c>
      <c r="BB77" s="4" t="s">
        <v>50</v>
      </c>
      <c r="BC77" s="4" t="s">
        <v>62</v>
      </c>
      <c r="BD77" s="4" t="s">
        <v>62</v>
      </c>
      <c r="BE77" s="4" t="s">
        <v>73</v>
      </c>
      <c r="BF77" s="4" t="s">
        <v>85</v>
      </c>
      <c r="BG77" s="4" t="s">
        <v>38</v>
      </c>
      <c r="BH77" s="4" t="s">
        <v>73</v>
      </c>
    </row>
    <row r="78" spans="14:60" hidden="1" x14ac:dyDescent="0.25">
      <c r="N78" s="4"/>
      <c r="O78" s="4" t="s">
        <v>593</v>
      </c>
      <c r="P78" s="4" t="s">
        <v>593</v>
      </c>
      <c r="Q78" s="4" t="s">
        <v>593</v>
      </c>
      <c r="R78" s="4" t="s">
        <v>593</v>
      </c>
      <c r="S78" s="4" t="s">
        <v>593</v>
      </c>
      <c r="T78" s="4" t="s">
        <v>593</v>
      </c>
      <c r="U78" s="4" t="s">
        <v>593</v>
      </c>
      <c r="V78" s="4" t="s">
        <v>593</v>
      </c>
      <c r="W78" s="4" t="s">
        <v>593</v>
      </c>
      <c r="X78" s="4" t="s">
        <v>594</v>
      </c>
      <c r="Y78" s="4" t="s">
        <v>594</v>
      </c>
      <c r="Z78" s="4" t="s">
        <v>594</v>
      </c>
      <c r="AA78" s="4" t="s">
        <v>594</v>
      </c>
      <c r="AB78" s="4" t="s">
        <v>594</v>
      </c>
      <c r="AC78" s="4" t="s">
        <v>594</v>
      </c>
      <c r="AD78" s="4" t="s">
        <v>594</v>
      </c>
      <c r="AE78" s="4" t="s">
        <v>595</v>
      </c>
      <c r="AF78" s="4" t="s">
        <v>595</v>
      </c>
      <c r="AG78" s="4" t="s">
        <v>596</v>
      </c>
      <c r="AH78" s="4" t="s">
        <v>597</v>
      </c>
      <c r="AI78" s="4" t="s">
        <v>593</v>
      </c>
      <c r="AJ78" s="4" t="s">
        <v>596</v>
      </c>
      <c r="AK78"/>
      <c r="AM78" s="4" t="s">
        <v>39</v>
      </c>
      <c r="AN78" s="4" t="s">
        <v>39</v>
      </c>
      <c r="AO78" s="4" t="s">
        <v>39</v>
      </c>
      <c r="AP78" s="4" t="s">
        <v>39</v>
      </c>
      <c r="AQ78" s="4" t="s">
        <v>39</v>
      </c>
      <c r="AR78" s="4" t="s">
        <v>39</v>
      </c>
      <c r="AS78" s="4" t="s">
        <v>39</v>
      </c>
      <c r="AT78" s="4" t="s">
        <v>39</v>
      </c>
      <c r="AU78" s="4" t="s">
        <v>39</v>
      </c>
      <c r="AV78" s="4" t="s">
        <v>51</v>
      </c>
      <c r="AW78" s="4" t="s">
        <v>51</v>
      </c>
      <c r="AX78" s="4" t="s">
        <v>51</v>
      </c>
      <c r="AY78" s="4" t="s">
        <v>51</v>
      </c>
      <c r="AZ78" s="4" t="s">
        <v>51</v>
      </c>
      <c r="BA78" s="4" t="s">
        <v>51</v>
      </c>
      <c r="BB78" s="4" t="s">
        <v>51</v>
      </c>
      <c r="BC78" s="4" t="s">
        <v>63</v>
      </c>
      <c r="BD78" s="4" t="s">
        <v>63</v>
      </c>
      <c r="BE78" s="4" t="s">
        <v>74</v>
      </c>
      <c r="BF78" s="4" t="s">
        <v>86</v>
      </c>
      <c r="BG78" s="4" t="s">
        <v>39</v>
      </c>
      <c r="BH78" s="4" t="s">
        <v>74</v>
      </c>
    </row>
    <row r="79" spans="14:60" hidden="1" x14ac:dyDescent="0.25">
      <c r="N79" s="4"/>
      <c r="O79" s="4" t="s">
        <v>588</v>
      </c>
      <c r="P79" s="4" t="s">
        <v>588</v>
      </c>
      <c r="Q79" s="4" t="s">
        <v>588</v>
      </c>
      <c r="R79" s="4" t="s">
        <v>588</v>
      </c>
      <c r="S79" s="4" t="s">
        <v>588</v>
      </c>
      <c r="T79" s="4" t="s">
        <v>588</v>
      </c>
      <c r="U79" s="4" t="s">
        <v>588</v>
      </c>
      <c r="V79" s="4" t="s">
        <v>588</v>
      </c>
      <c r="W79" s="4" t="s">
        <v>588</v>
      </c>
      <c r="X79" s="4" t="s">
        <v>589</v>
      </c>
      <c r="Y79" s="4" t="s">
        <v>589</v>
      </c>
      <c r="Z79" s="4" t="s">
        <v>589</v>
      </c>
      <c r="AA79" s="4" t="s">
        <v>589</v>
      </c>
      <c r="AB79" s="4" t="s">
        <v>589</v>
      </c>
      <c r="AC79" s="4" t="s">
        <v>589</v>
      </c>
      <c r="AD79" s="4" t="s">
        <v>589</v>
      </c>
      <c r="AE79" s="4" t="s">
        <v>590</v>
      </c>
      <c r="AF79" s="4" t="s">
        <v>590</v>
      </c>
      <c r="AG79" s="4" t="s">
        <v>591</v>
      </c>
      <c r="AH79" s="4" t="s">
        <v>592</v>
      </c>
      <c r="AI79" s="4" t="s">
        <v>588</v>
      </c>
      <c r="AJ79" s="4" t="s">
        <v>591</v>
      </c>
      <c r="AK79"/>
      <c r="AM79" s="4" t="s">
        <v>40</v>
      </c>
      <c r="AN79" s="4" t="s">
        <v>40</v>
      </c>
      <c r="AO79" s="4" t="s">
        <v>40</v>
      </c>
      <c r="AP79" s="4" t="s">
        <v>40</v>
      </c>
      <c r="AQ79" s="4" t="s">
        <v>40</v>
      </c>
      <c r="AR79" s="4" t="s">
        <v>40</v>
      </c>
      <c r="AS79" s="4" t="s">
        <v>40</v>
      </c>
      <c r="AT79" s="4" t="s">
        <v>40</v>
      </c>
      <c r="AU79" s="4" t="s">
        <v>40</v>
      </c>
      <c r="AV79" s="4" t="s">
        <v>52</v>
      </c>
      <c r="AW79" s="4" t="s">
        <v>52</v>
      </c>
      <c r="AX79" s="4" t="s">
        <v>52</v>
      </c>
      <c r="AY79" s="4" t="s">
        <v>52</v>
      </c>
      <c r="AZ79" s="4" t="s">
        <v>52</v>
      </c>
      <c r="BA79" s="4" t="s">
        <v>52</v>
      </c>
      <c r="BB79" s="4" t="s">
        <v>52</v>
      </c>
      <c r="BC79" s="4" t="s">
        <v>64</v>
      </c>
      <c r="BD79" s="4" t="s">
        <v>64</v>
      </c>
      <c r="BE79" s="4" t="s">
        <v>75</v>
      </c>
      <c r="BF79" s="4" t="s">
        <v>87</v>
      </c>
      <c r="BG79" s="4" t="s">
        <v>40</v>
      </c>
      <c r="BH79" s="4" t="s">
        <v>75</v>
      </c>
    </row>
    <row r="80" spans="14:60" hidden="1" x14ac:dyDescent="0.25">
      <c r="N80" s="4"/>
      <c r="O80" s="4" t="s">
        <v>583</v>
      </c>
      <c r="P80" s="4" t="s">
        <v>583</v>
      </c>
      <c r="Q80" s="4" t="s">
        <v>583</v>
      </c>
      <c r="R80" s="4" t="s">
        <v>583</v>
      </c>
      <c r="S80" s="4" t="s">
        <v>583</v>
      </c>
      <c r="T80" s="4" t="s">
        <v>583</v>
      </c>
      <c r="U80" s="4" t="s">
        <v>583</v>
      </c>
      <c r="V80" s="4" t="s">
        <v>583</v>
      </c>
      <c r="W80" s="4" t="s">
        <v>583</v>
      </c>
      <c r="X80" s="4" t="s">
        <v>584</v>
      </c>
      <c r="Y80" s="4" t="s">
        <v>584</v>
      </c>
      <c r="Z80" s="4" t="s">
        <v>584</v>
      </c>
      <c r="AA80" s="4" t="s">
        <v>584</v>
      </c>
      <c r="AB80" s="4" t="s">
        <v>584</v>
      </c>
      <c r="AC80" s="4" t="s">
        <v>584</v>
      </c>
      <c r="AD80" s="4" t="s">
        <v>584</v>
      </c>
      <c r="AE80" s="4" t="s">
        <v>585</v>
      </c>
      <c r="AF80" s="4" t="s">
        <v>585</v>
      </c>
      <c r="AG80" s="4" t="s">
        <v>586</v>
      </c>
      <c r="AH80" s="4" t="s">
        <v>587</v>
      </c>
      <c r="AI80" s="4" t="s">
        <v>583</v>
      </c>
      <c r="AJ80" s="4" t="s">
        <v>586</v>
      </c>
      <c r="AK80"/>
      <c r="AM80" s="4" t="s">
        <v>41</v>
      </c>
      <c r="AN80" s="4" t="s">
        <v>41</v>
      </c>
      <c r="AO80" s="4" t="s">
        <v>41</v>
      </c>
      <c r="AP80" s="4" t="s">
        <v>41</v>
      </c>
      <c r="AQ80" s="4" t="s">
        <v>41</v>
      </c>
      <c r="AR80" s="4" t="s">
        <v>41</v>
      </c>
      <c r="AS80" s="4" t="s">
        <v>41</v>
      </c>
      <c r="AT80" s="4" t="s">
        <v>41</v>
      </c>
      <c r="AU80" s="4" t="s">
        <v>41</v>
      </c>
      <c r="AV80" s="4" t="s">
        <v>53</v>
      </c>
      <c r="AW80" s="4" t="s">
        <v>53</v>
      </c>
      <c r="AX80" s="4" t="s">
        <v>53</v>
      </c>
      <c r="AY80" s="4" t="s">
        <v>53</v>
      </c>
      <c r="AZ80" s="4" t="s">
        <v>53</v>
      </c>
      <c r="BA80" s="4" t="s">
        <v>53</v>
      </c>
      <c r="BB80" s="4" t="s">
        <v>53</v>
      </c>
      <c r="BC80" s="4" t="s">
        <v>65</v>
      </c>
      <c r="BD80" s="4" t="s">
        <v>65</v>
      </c>
      <c r="BE80" s="4" t="s">
        <v>76</v>
      </c>
      <c r="BF80" s="4" t="s">
        <v>88</v>
      </c>
      <c r="BG80" s="4" t="s">
        <v>41</v>
      </c>
      <c r="BH80" s="4" t="s">
        <v>76</v>
      </c>
    </row>
    <row r="81" spans="14:60" hidden="1" x14ac:dyDescent="0.25">
      <c r="N81" s="4"/>
      <c r="O81" s="4" t="s">
        <v>578</v>
      </c>
      <c r="P81" s="4" t="s">
        <v>578</v>
      </c>
      <c r="Q81" s="4" t="s">
        <v>578</v>
      </c>
      <c r="R81" s="4" t="s">
        <v>578</v>
      </c>
      <c r="S81" s="4" t="s">
        <v>578</v>
      </c>
      <c r="T81" s="4" t="s">
        <v>578</v>
      </c>
      <c r="U81" s="4" t="s">
        <v>578</v>
      </c>
      <c r="V81" s="4" t="s">
        <v>578</v>
      </c>
      <c r="W81" s="4" t="s">
        <v>578</v>
      </c>
      <c r="X81" s="4" t="s">
        <v>579</v>
      </c>
      <c r="Y81" s="4" t="s">
        <v>579</v>
      </c>
      <c r="Z81" s="4" t="s">
        <v>579</v>
      </c>
      <c r="AA81" s="4" t="s">
        <v>579</v>
      </c>
      <c r="AB81" s="4" t="s">
        <v>579</v>
      </c>
      <c r="AC81" s="4" t="s">
        <v>579</v>
      </c>
      <c r="AD81" s="4" t="s">
        <v>579</v>
      </c>
      <c r="AE81" s="4" t="s">
        <v>580</v>
      </c>
      <c r="AF81" s="4" t="s">
        <v>580</v>
      </c>
      <c r="AG81" s="4" t="s">
        <v>581</v>
      </c>
      <c r="AH81" s="4" t="s">
        <v>582</v>
      </c>
      <c r="AI81" s="4" t="s">
        <v>578</v>
      </c>
      <c r="AJ81" s="4" t="s">
        <v>581</v>
      </c>
      <c r="AK81"/>
      <c r="AM81" s="4" t="s">
        <v>42</v>
      </c>
      <c r="AN81" s="4" t="s">
        <v>42</v>
      </c>
      <c r="AO81" s="4" t="s">
        <v>42</v>
      </c>
      <c r="AP81" s="4" t="s">
        <v>42</v>
      </c>
      <c r="AQ81" s="4" t="s">
        <v>42</v>
      </c>
      <c r="AR81" s="4" t="s">
        <v>42</v>
      </c>
      <c r="AS81" s="4" t="s">
        <v>42</v>
      </c>
      <c r="AT81" s="4" t="s">
        <v>42</v>
      </c>
      <c r="AU81" s="4" t="s">
        <v>42</v>
      </c>
      <c r="AV81" s="4" t="s">
        <v>54</v>
      </c>
      <c r="AW81" s="4" t="s">
        <v>54</v>
      </c>
      <c r="AX81" s="4" t="s">
        <v>54</v>
      </c>
      <c r="AY81" s="4" t="s">
        <v>54</v>
      </c>
      <c r="AZ81" s="4" t="s">
        <v>54</v>
      </c>
      <c r="BA81" s="4" t="s">
        <v>54</v>
      </c>
      <c r="BB81" s="4" t="s">
        <v>54</v>
      </c>
      <c r="BC81" s="4" t="s">
        <v>66</v>
      </c>
      <c r="BD81" s="4" t="s">
        <v>66</v>
      </c>
      <c r="BE81" s="4" t="s">
        <v>77</v>
      </c>
      <c r="BF81" s="4" t="s">
        <v>89</v>
      </c>
      <c r="BG81" s="4" t="s">
        <v>42</v>
      </c>
      <c r="BH81" s="4" t="s">
        <v>77</v>
      </c>
    </row>
    <row r="82" spans="14:60" hidden="1" x14ac:dyDescent="0.25">
      <c r="N82" s="4"/>
      <c r="O82" s="4" t="s">
        <v>573</v>
      </c>
      <c r="P82" s="4" t="s">
        <v>573</v>
      </c>
      <c r="Q82" s="4" t="s">
        <v>573</v>
      </c>
      <c r="R82" s="4" t="s">
        <v>573</v>
      </c>
      <c r="S82" s="4" t="s">
        <v>573</v>
      </c>
      <c r="T82" s="4" t="s">
        <v>573</v>
      </c>
      <c r="U82" s="4" t="s">
        <v>573</v>
      </c>
      <c r="V82" s="4" t="s">
        <v>573</v>
      </c>
      <c r="W82" s="4" t="s">
        <v>573</v>
      </c>
      <c r="X82" s="4" t="s">
        <v>574</v>
      </c>
      <c r="Y82" s="4" t="s">
        <v>574</v>
      </c>
      <c r="Z82" s="4" t="s">
        <v>574</v>
      </c>
      <c r="AA82" s="4" t="s">
        <v>574</v>
      </c>
      <c r="AB82" s="4" t="s">
        <v>574</v>
      </c>
      <c r="AC82" s="4" t="s">
        <v>574</v>
      </c>
      <c r="AD82" s="4" t="s">
        <v>574</v>
      </c>
      <c r="AE82" s="4" t="s">
        <v>575</v>
      </c>
      <c r="AF82" s="4" t="s">
        <v>575</v>
      </c>
      <c r="AG82" s="4" t="s">
        <v>576</v>
      </c>
      <c r="AH82" s="4" t="s">
        <v>577</v>
      </c>
      <c r="AI82" s="4" t="s">
        <v>573</v>
      </c>
      <c r="AJ82" s="4" t="s">
        <v>576</v>
      </c>
      <c r="AK82"/>
      <c r="AM82" s="4" t="s">
        <v>43</v>
      </c>
      <c r="AN82" s="4" t="s">
        <v>43</v>
      </c>
      <c r="AO82" s="4" t="s">
        <v>43</v>
      </c>
      <c r="AP82" s="4" t="s">
        <v>43</v>
      </c>
      <c r="AQ82" s="4" t="s">
        <v>43</v>
      </c>
      <c r="AR82" s="4" t="s">
        <v>43</v>
      </c>
      <c r="AS82" s="4" t="s">
        <v>43</v>
      </c>
      <c r="AT82" s="4" t="s">
        <v>43</v>
      </c>
      <c r="AU82" s="4" t="s">
        <v>43</v>
      </c>
      <c r="AV82" s="4" t="s">
        <v>55</v>
      </c>
      <c r="AW82" s="4" t="s">
        <v>55</v>
      </c>
      <c r="AX82" s="4" t="s">
        <v>55</v>
      </c>
      <c r="AY82" s="4" t="s">
        <v>55</v>
      </c>
      <c r="AZ82" s="4" t="s">
        <v>55</v>
      </c>
      <c r="BA82" s="4" t="s">
        <v>55</v>
      </c>
      <c r="BB82" s="4" t="s">
        <v>55</v>
      </c>
      <c r="BC82" s="4" t="s">
        <v>67</v>
      </c>
      <c r="BD82" s="4" t="s">
        <v>67</v>
      </c>
      <c r="BE82" s="4" t="s">
        <v>78</v>
      </c>
      <c r="BF82" s="4" t="s">
        <v>90</v>
      </c>
      <c r="BG82" s="4" t="s">
        <v>43</v>
      </c>
      <c r="BH82" s="4" t="s">
        <v>78</v>
      </c>
    </row>
    <row r="83" spans="14:60" hidden="1" x14ac:dyDescent="0.25">
      <c r="N83" s="4"/>
      <c r="O83" s="4" t="s">
        <v>568</v>
      </c>
      <c r="P83" s="4" t="s">
        <v>568</v>
      </c>
      <c r="Q83" s="4" t="s">
        <v>568</v>
      </c>
      <c r="R83" s="4" t="s">
        <v>568</v>
      </c>
      <c r="S83" s="4" t="s">
        <v>568</v>
      </c>
      <c r="T83" s="4" t="s">
        <v>568</v>
      </c>
      <c r="U83" s="4" t="s">
        <v>568</v>
      </c>
      <c r="V83" s="4" t="s">
        <v>568</v>
      </c>
      <c r="W83" s="4" t="s">
        <v>568</v>
      </c>
      <c r="X83" s="4" t="s">
        <v>569</v>
      </c>
      <c r="Y83" s="4" t="s">
        <v>569</v>
      </c>
      <c r="Z83" s="4" t="s">
        <v>569</v>
      </c>
      <c r="AA83" s="4" t="s">
        <v>569</v>
      </c>
      <c r="AB83" s="4" t="s">
        <v>569</v>
      </c>
      <c r="AC83" s="4" t="s">
        <v>569</v>
      </c>
      <c r="AD83" s="4" t="s">
        <v>569</v>
      </c>
      <c r="AE83" s="4" t="s">
        <v>570</v>
      </c>
      <c r="AF83" s="4" t="s">
        <v>570</v>
      </c>
      <c r="AG83" s="4" t="s">
        <v>571</v>
      </c>
      <c r="AH83" s="4" t="s">
        <v>572</v>
      </c>
      <c r="AI83" s="4" t="s">
        <v>568</v>
      </c>
      <c r="AJ83" s="4" t="s">
        <v>571</v>
      </c>
      <c r="AK83"/>
      <c r="AM83" s="4" t="s">
        <v>44</v>
      </c>
      <c r="AN83" s="4" t="s">
        <v>44</v>
      </c>
      <c r="AO83" s="4" t="s">
        <v>44</v>
      </c>
      <c r="AP83" s="4" t="s">
        <v>44</v>
      </c>
      <c r="AQ83" s="4" t="s">
        <v>44</v>
      </c>
      <c r="AR83" s="4" t="s">
        <v>44</v>
      </c>
      <c r="AS83" s="4" t="s">
        <v>44</v>
      </c>
      <c r="AT83" s="4" t="s">
        <v>44</v>
      </c>
      <c r="AU83" s="4" t="s">
        <v>44</v>
      </c>
      <c r="AV83" s="4" t="s">
        <v>56</v>
      </c>
      <c r="AW83" s="4" t="s">
        <v>56</v>
      </c>
      <c r="AX83" s="4" t="s">
        <v>56</v>
      </c>
      <c r="AY83" s="4" t="s">
        <v>56</v>
      </c>
      <c r="AZ83" s="4" t="s">
        <v>56</v>
      </c>
      <c r="BA83" s="4" t="s">
        <v>56</v>
      </c>
      <c r="BB83" s="4" t="s">
        <v>56</v>
      </c>
      <c r="BC83" s="4" t="s">
        <v>314</v>
      </c>
      <c r="BD83" s="4" t="s">
        <v>314</v>
      </c>
      <c r="BE83" s="4" t="s">
        <v>79</v>
      </c>
      <c r="BF83" s="4" t="s">
        <v>91</v>
      </c>
      <c r="BG83" s="4" t="s">
        <v>44</v>
      </c>
      <c r="BH83" s="4" t="s">
        <v>79</v>
      </c>
    </row>
    <row r="84" spans="14:60" hidden="1" x14ac:dyDescent="0.25">
      <c r="N84" s="4"/>
      <c r="O84" s="4"/>
      <c r="P84" s="4" t="s">
        <v>316</v>
      </c>
      <c r="Q84" s="4" t="s">
        <v>317</v>
      </c>
      <c r="R84" s="4" t="s">
        <v>318</v>
      </c>
      <c r="S84" s="4" t="s">
        <v>319</v>
      </c>
      <c r="T84" s="4" t="s">
        <v>316</v>
      </c>
      <c r="U84" s="4" t="s">
        <v>316</v>
      </c>
      <c r="V84" s="4" t="s">
        <v>317</v>
      </c>
      <c r="W84" s="4" t="s">
        <v>317</v>
      </c>
      <c r="X84" s="4"/>
      <c r="Y84" s="4" t="s">
        <v>317</v>
      </c>
      <c r="Z84" s="4" t="s">
        <v>318</v>
      </c>
      <c r="AA84" s="4" t="s">
        <v>319</v>
      </c>
      <c r="AB84" s="4" t="s">
        <v>317</v>
      </c>
      <c r="AC84" s="4" t="s">
        <v>317</v>
      </c>
      <c r="AD84" s="4" t="s">
        <v>318</v>
      </c>
      <c r="AE84" s="4" t="s">
        <v>319</v>
      </c>
      <c r="AF84" s="4" t="s">
        <v>318</v>
      </c>
      <c r="AG84" s="4" t="s">
        <v>319</v>
      </c>
      <c r="AH84" s="4"/>
      <c r="AI84" s="4" t="s">
        <v>316</v>
      </c>
      <c r="AJ84"/>
      <c r="AK84"/>
      <c r="AM84"/>
      <c r="AN84" s="4" t="s">
        <v>316</v>
      </c>
      <c r="AO84" s="4" t="s">
        <v>317</v>
      </c>
      <c r="AP84" s="4" t="s">
        <v>318</v>
      </c>
      <c r="AQ84" s="4" t="s">
        <v>319</v>
      </c>
      <c r="AR84" s="4" t="s">
        <v>316</v>
      </c>
      <c r="AS84" s="4" t="s">
        <v>316</v>
      </c>
      <c r="AT84" s="4" t="s">
        <v>317</v>
      </c>
      <c r="AU84" s="4" t="s">
        <v>317</v>
      </c>
      <c r="AV84" s="4"/>
      <c r="AW84" s="4" t="s">
        <v>317</v>
      </c>
      <c r="AX84" s="4" t="s">
        <v>318</v>
      </c>
      <c r="AY84" s="4" t="s">
        <v>319</v>
      </c>
      <c r="AZ84" s="4" t="s">
        <v>317</v>
      </c>
      <c r="BA84" s="4" t="s">
        <v>317</v>
      </c>
      <c r="BB84" s="4" t="s">
        <v>318</v>
      </c>
      <c r="BC84" s="4" t="s">
        <v>319</v>
      </c>
      <c r="BD84" s="4" t="s">
        <v>318</v>
      </c>
      <c r="BE84" s="4" t="s">
        <v>319</v>
      </c>
      <c r="BG84" s="4" t="s">
        <v>316</v>
      </c>
    </row>
    <row r="85" spans="14:60" hidden="1" x14ac:dyDescent="0.25">
      <c r="P85" s="4" t="s">
        <v>539</v>
      </c>
      <c r="Q85" s="4" t="s">
        <v>540</v>
      </c>
      <c r="R85" s="4" t="s">
        <v>541</v>
      </c>
      <c r="S85" s="4" t="s">
        <v>542</v>
      </c>
      <c r="T85" s="4" t="s">
        <v>539</v>
      </c>
      <c r="U85" s="4" t="s">
        <v>539</v>
      </c>
      <c r="V85" s="4" t="s">
        <v>540</v>
      </c>
      <c r="W85" s="4" t="s">
        <v>540</v>
      </c>
      <c r="Y85" s="4" t="s">
        <v>540</v>
      </c>
      <c r="Z85" s="4" t="s">
        <v>541</v>
      </c>
      <c r="AA85" s="4" t="s">
        <v>542</v>
      </c>
      <c r="AB85" s="4" t="s">
        <v>540</v>
      </c>
      <c r="AC85" s="4" t="s">
        <v>540</v>
      </c>
      <c r="AD85" s="4" t="s">
        <v>541</v>
      </c>
      <c r="AE85" s="4" t="s">
        <v>542</v>
      </c>
      <c r="AF85" s="4" t="s">
        <v>541</v>
      </c>
      <c r="AG85" s="4" t="s">
        <v>542</v>
      </c>
      <c r="AH85"/>
      <c r="AI85" s="4" t="s">
        <v>539</v>
      </c>
      <c r="AJ85"/>
      <c r="AK85"/>
      <c r="AM85"/>
      <c r="AN85" s="4" t="s">
        <v>45</v>
      </c>
      <c r="AO85" s="4" t="s">
        <v>57</v>
      </c>
      <c r="AP85" s="4" t="s">
        <v>68</v>
      </c>
      <c r="AQ85" s="4" t="s">
        <v>80</v>
      </c>
      <c r="AR85" s="4" t="s">
        <v>45</v>
      </c>
      <c r="AS85" s="4" t="s">
        <v>45</v>
      </c>
      <c r="AT85" s="4" t="s">
        <v>57</v>
      </c>
      <c r="AU85" s="4" t="s">
        <v>57</v>
      </c>
      <c r="AW85" s="4" t="s">
        <v>57</v>
      </c>
      <c r="AX85" s="4" t="s">
        <v>68</v>
      </c>
      <c r="AY85" s="4" t="s">
        <v>80</v>
      </c>
      <c r="AZ85" s="4" t="s">
        <v>57</v>
      </c>
      <c r="BA85" s="4" t="s">
        <v>57</v>
      </c>
      <c r="BB85" s="4" t="s">
        <v>68</v>
      </c>
      <c r="BC85" s="4" t="s">
        <v>80</v>
      </c>
      <c r="BD85" s="4" t="s">
        <v>68</v>
      </c>
      <c r="BE85" s="4" t="s">
        <v>80</v>
      </c>
      <c r="BG85" s="4" t="s">
        <v>45</v>
      </c>
    </row>
    <row r="86" spans="14:60" hidden="1" x14ac:dyDescent="0.25">
      <c r="P86" s="4" t="s">
        <v>544</v>
      </c>
      <c r="Q86" s="4" t="s">
        <v>545</v>
      </c>
      <c r="R86" s="4" t="s">
        <v>546</v>
      </c>
      <c r="S86" s="4" t="s">
        <v>547</v>
      </c>
      <c r="T86" s="4" t="s">
        <v>544</v>
      </c>
      <c r="U86" s="4" t="s">
        <v>544</v>
      </c>
      <c r="V86" s="4" t="s">
        <v>545</v>
      </c>
      <c r="W86" s="4" t="s">
        <v>545</v>
      </c>
      <c r="Y86" s="4" t="s">
        <v>545</v>
      </c>
      <c r="Z86" s="4" t="s">
        <v>546</v>
      </c>
      <c r="AA86" s="4" t="s">
        <v>547</v>
      </c>
      <c r="AB86" s="4" t="s">
        <v>545</v>
      </c>
      <c r="AC86" s="4" t="s">
        <v>545</v>
      </c>
      <c r="AD86" s="4" t="s">
        <v>546</v>
      </c>
      <c r="AE86" s="4" t="s">
        <v>547</v>
      </c>
      <c r="AF86" s="4" t="s">
        <v>546</v>
      </c>
      <c r="AG86" s="4" t="s">
        <v>547</v>
      </c>
      <c r="AH86"/>
      <c r="AI86" s="4" t="s">
        <v>544</v>
      </c>
      <c r="AJ86"/>
      <c r="AK86"/>
      <c r="AM86"/>
      <c r="AN86" s="4" t="s">
        <v>46</v>
      </c>
      <c r="AO86" s="4" t="s">
        <v>58</v>
      </c>
      <c r="AP86" s="4" t="s">
        <v>69</v>
      </c>
      <c r="AQ86" s="4" t="s">
        <v>81</v>
      </c>
      <c r="AR86" s="4" t="s">
        <v>46</v>
      </c>
      <c r="AS86" s="4" t="s">
        <v>46</v>
      </c>
      <c r="AT86" s="4" t="s">
        <v>58</v>
      </c>
      <c r="AU86" s="4" t="s">
        <v>58</v>
      </c>
      <c r="AW86" s="4" t="s">
        <v>58</v>
      </c>
      <c r="AX86" s="4" t="s">
        <v>69</v>
      </c>
      <c r="AY86" s="4" t="s">
        <v>81</v>
      </c>
      <c r="AZ86" s="4" t="s">
        <v>58</v>
      </c>
      <c r="BA86" s="4" t="s">
        <v>58</v>
      </c>
      <c r="BB86" s="4" t="s">
        <v>69</v>
      </c>
      <c r="BC86" s="4" t="s">
        <v>81</v>
      </c>
      <c r="BD86" s="4" t="s">
        <v>69</v>
      </c>
      <c r="BE86" s="4" t="s">
        <v>81</v>
      </c>
      <c r="BG86" s="4" t="s">
        <v>46</v>
      </c>
    </row>
    <row r="87" spans="14:60" hidden="1" x14ac:dyDescent="0.25">
      <c r="P87" s="4" t="s">
        <v>549</v>
      </c>
      <c r="Q87" s="4" t="s">
        <v>550</v>
      </c>
      <c r="R87" s="4" t="s">
        <v>551</v>
      </c>
      <c r="S87" s="4" t="s">
        <v>552</v>
      </c>
      <c r="T87" s="4" t="s">
        <v>549</v>
      </c>
      <c r="U87" s="4" t="s">
        <v>549</v>
      </c>
      <c r="V87" s="4" t="s">
        <v>550</v>
      </c>
      <c r="W87" s="4" t="s">
        <v>550</v>
      </c>
      <c r="Y87" s="4" t="s">
        <v>550</v>
      </c>
      <c r="Z87" s="4" t="s">
        <v>551</v>
      </c>
      <c r="AA87" s="4" t="s">
        <v>552</v>
      </c>
      <c r="AB87" s="4" t="s">
        <v>550</v>
      </c>
      <c r="AC87" s="4" t="s">
        <v>550</v>
      </c>
      <c r="AD87" s="4" t="s">
        <v>551</v>
      </c>
      <c r="AE87" s="4" t="s">
        <v>552</v>
      </c>
      <c r="AF87" s="4" t="s">
        <v>551</v>
      </c>
      <c r="AG87" s="4" t="s">
        <v>552</v>
      </c>
      <c r="AH87"/>
      <c r="AI87" s="4" t="s">
        <v>549</v>
      </c>
      <c r="AJ87"/>
      <c r="AK87"/>
      <c r="AM87"/>
      <c r="AN87" s="4" t="s">
        <v>47</v>
      </c>
      <c r="AO87" s="4" t="s">
        <v>59</v>
      </c>
      <c r="AP87" s="4" t="s">
        <v>70</v>
      </c>
      <c r="AQ87" s="4" t="s">
        <v>82</v>
      </c>
      <c r="AR87" s="4" t="s">
        <v>47</v>
      </c>
      <c r="AS87" s="4" t="s">
        <v>47</v>
      </c>
      <c r="AT87" s="4" t="s">
        <v>59</v>
      </c>
      <c r="AU87" s="4" t="s">
        <v>59</v>
      </c>
      <c r="AW87" s="4" t="s">
        <v>59</v>
      </c>
      <c r="AX87" s="4" t="s">
        <v>70</v>
      </c>
      <c r="AY87" s="4" t="s">
        <v>82</v>
      </c>
      <c r="AZ87" s="4" t="s">
        <v>59</v>
      </c>
      <c r="BA87" s="4" t="s">
        <v>59</v>
      </c>
      <c r="BB87" s="4" t="s">
        <v>70</v>
      </c>
      <c r="BC87" s="4" t="s">
        <v>82</v>
      </c>
      <c r="BD87" s="4" t="s">
        <v>70</v>
      </c>
      <c r="BE87" s="4" t="s">
        <v>82</v>
      </c>
      <c r="BG87" s="4" t="s">
        <v>47</v>
      </c>
    </row>
    <row r="88" spans="14:60" hidden="1" x14ac:dyDescent="0.25">
      <c r="P88" s="4" t="s">
        <v>554</v>
      </c>
      <c r="Q88" s="4" t="s">
        <v>555</v>
      </c>
      <c r="R88" s="4" t="s">
        <v>556</v>
      </c>
      <c r="S88" s="4" t="s">
        <v>557</v>
      </c>
      <c r="T88" s="4" t="s">
        <v>554</v>
      </c>
      <c r="U88" s="4" t="s">
        <v>554</v>
      </c>
      <c r="V88" s="4" t="s">
        <v>555</v>
      </c>
      <c r="W88" s="4" t="s">
        <v>555</v>
      </c>
      <c r="Y88" s="4" t="s">
        <v>555</v>
      </c>
      <c r="Z88" s="4" t="s">
        <v>556</v>
      </c>
      <c r="AA88" s="4" t="s">
        <v>557</v>
      </c>
      <c r="AB88" s="4" t="s">
        <v>555</v>
      </c>
      <c r="AC88" s="4" t="s">
        <v>555</v>
      </c>
      <c r="AD88" s="4" t="s">
        <v>556</v>
      </c>
      <c r="AE88" s="4" t="s">
        <v>557</v>
      </c>
      <c r="AF88" s="4" t="s">
        <v>556</v>
      </c>
      <c r="AG88" s="4" t="s">
        <v>557</v>
      </c>
      <c r="AH88"/>
      <c r="AI88" s="4" t="s">
        <v>554</v>
      </c>
      <c r="AJ88"/>
      <c r="AK88"/>
      <c r="AM88"/>
      <c r="AN88" s="4" t="s">
        <v>48</v>
      </c>
      <c r="AO88" s="4" t="s">
        <v>60</v>
      </c>
      <c r="AP88" s="4" t="s">
        <v>71</v>
      </c>
      <c r="AQ88" s="4" t="s">
        <v>83</v>
      </c>
      <c r="AR88" s="4" t="s">
        <v>48</v>
      </c>
      <c r="AS88" s="4" t="s">
        <v>48</v>
      </c>
      <c r="AT88" s="4" t="s">
        <v>60</v>
      </c>
      <c r="AU88" s="4" t="s">
        <v>60</v>
      </c>
      <c r="AW88" s="4" t="s">
        <v>60</v>
      </c>
      <c r="AX88" s="4" t="s">
        <v>71</v>
      </c>
      <c r="AY88" s="4" t="s">
        <v>83</v>
      </c>
      <c r="AZ88" s="4" t="s">
        <v>60</v>
      </c>
      <c r="BA88" s="4" t="s">
        <v>60</v>
      </c>
      <c r="BB88" s="4" t="s">
        <v>71</v>
      </c>
      <c r="BC88" s="4" t="s">
        <v>83</v>
      </c>
      <c r="BD88" s="4" t="s">
        <v>71</v>
      </c>
      <c r="BE88" s="4" t="s">
        <v>83</v>
      </c>
      <c r="BG88" s="4" t="s">
        <v>48</v>
      </c>
    </row>
    <row r="89" spans="14:60" hidden="1" x14ac:dyDescent="0.25">
      <c r="P89" s="4" t="s">
        <v>559</v>
      </c>
      <c r="Q89" s="4" t="s">
        <v>560</v>
      </c>
      <c r="R89" s="4" t="s">
        <v>561</v>
      </c>
      <c r="S89" s="4" t="s">
        <v>562</v>
      </c>
      <c r="T89" s="4" t="s">
        <v>559</v>
      </c>
      <c r="U89" s="4" t="s">
        <v>559</v>
      </c>
      <c r="V89" s="4" t="s">
        <v>560</v>
      </c>
      <c r="W89" s="4" t="s">
        <v>560</v>
      </c>
      <c r="Y89" s="4" t="s">
        <v>560</v>
      </c>
      <c r="Z89" s="4" t="s">
        <v>561</v>
      </c>
      <c r="AA89" s="4" t="s">
        <v>562</v>
      </c>
      <c r="AB89" s="4" t="s">
        <v>560</v>
      </c>
      <c r="AC89" s="4" t="s">
        <v>560</v>
      </c>
      <c r="AD89" s="4" t="s">
        <v>561</v>
      </c>
      <c r="AE89" s="4" t="s">
        <v>562</v>
      </c>
      <c r="AF89" s="4" t="s">
        <v>561</v>
      </c>
      <c r="AG89" s="4" t="s">
        <v>562</v>
      </c>
      <c r="AH89"/>
      <c r="AI89" s="4" t="s">
        <v>559</v>
      </c>
      <c r="AJ89"/>
      <c r="AK89"/>
      <c r="AM89"/>
      <c r="AN89" s="4" t="s">
        <v>49</v>
      </c>
      <c r="AO89" s="4" t="s">
        <v>61</v>
      </c>
      <c r="AP89" s="4" t="s">
        <v>72</v>
      </c>
      <c r="AQ89" s="4" t="s">
        <v>84</v>
      </c>
      <c r="AR89" s="4" t="s">
        <v>49</v>
      </c>
      <c r="AS89" s="4" t="s">
        <v>49</v>
      </c>
      <c r="AT89" s="4" t="s">
        <v>61</v>
      </c>
      <c r="AU89" s="4" t="s">
        <v>61</v>
      </c>
      <c r="AW89" s="4" t="s">
        <v>61</v>
      </c>
      <c r="AX89" s="4" t="s">
        <v>72</v>
      </c>
      <c r="AY89" s="4" t="s">
        <v>84</v>
      </c>
      <c r="AZ89" s="4" t="s">
        <v>61</v>
      </c>
      <c r="BA89" s="4" t="s">
        <v>61</v>
      </c>
      <c r="BB89" s="4" t="s">
        <v>72</v>
      </c>
      <c r="BC89" s="4" t="s">
        <v>84</v>
      </c>
      <c r="BD89" s="4" t="s">
        <v>72</v>
      </c>
      <c r="BE89" s="4" t="s">
        <v>84</v>
      </c>
      <c r="BG89" s="4" t="s">
        <v>49</v>
      </c>
    </row>
    <row r="90" spans="14:60" hidden="1" x14ac:dyDescent="0.25">
      <c r="P90" s="4" t="s">
        <v>564</v>
      </c>
      <c r="Q90" s="4" t="s">
        <v>565</v>
      </c>
      <c r="R90" s="4" t="s">
        <v>566</v>
      </c>
      <c r="S90" s="4" t="s">
        <v>567</v>
      </c>
      <c r="T90" s="4" t="s">
        <v>564</v>
      </c>
      <c r="U90" s="4" t="s">
        <v>564</v>
      </c>
      <c r="V90" s="4" t="s">
        <v>565</v>
      </c>
      <c r="W90" s="4" t="s">
        <v>565</v>
      </c>
      <c r="Y90" s="4" t="s">
        <v>565</v>
      </c>
      <c r="Z90" s="4" t="s">
        <v>566</v>
      </c>
      <c r="AA90" s="4" t="s">
        <v>567</v>
      </c>
      <c r="AB90" s="4" t="s">
        <v>565</v>
      </c>
      <c r="AC90" s="4" t="s">
        <v>565</v>
      </c>
      <c r="AD90" s="4" t="s">
        <v>566</v>
      </c>
      <c r="AE90" s="4" t="s">
        <v>567</v>
      </c>
      <c r="AF90" s="4" t="s">
        <v>566</v>
      </c>
      <c r="AG90" s="4" t="s">
        <v>567</v>
      </c>
      <c r="AH90"/>
      <c r="AI90" s="4" t="s">
        <v>564</v>
      </c>
      <c r="AJ90"/>
      <c r="AK90"/>
      <c r="AM90"/>
      <c r="AN90" s="4" t="s">
        <v>50</v>
      </c>
      <c r="AO90" s="4" t="s">
        <v>62</v>
      </c>
      <c r="AP90" s="4" t="s">
        <v>73</v>
      </c>
      <c r="AQ90" s="4" t="s">
        <v>85</v>
      </c>
      <c r="AR90" s="4" t="s">
        <v>50</v>
      </c>
      <c r="AS90" s="4" t="s">
        <v>50</v>
      </c>
      <c r="AT90" s="4" t="s">
        <v>62</v>
      </c>
      <c r="AU90" s="4" t="s">
        <v>62</v>
      </c>
      <c r="AW90" s="4" t="s">
        <v>62</v>
      </c>
      <c r="AX90" s="4" t="s">
        <v>73</v>
      </c>
      <c r="AY90" s="4" t="s">
        <v>85</v>
      </c>
      <c r="AZ90" s="4" t="s">
        <v>62</v>
      </c>
      <c r="BA90" s="4" t="s">
        <v>62</v>
      </c>
      <c r="BB90" s="4" t="s">
        <v>73</v>
      </c>
      <c r="BC90" s="4" t="s">
        <v>85</v>
      </c>
      <c r="BD90" s="4" t="s">
        <v>73</v>
      </c>
      <c r="BE90" s="4" t="s">
        <v>85</v>
      </c>
      <c r="BG90" s="4" t="s">
        <v>50</v>
      </c>
    </row>
    <row r="91" spans="14:60" hidden="1" x14ac:dyDescent="0.25">
      <c r="P91" s="4" t="s">
        <v>594</v>
      </c>
      <c r="Q91" s="4" t="s">
        <v>595</v>
      </c>
      <c r="R91" s="4" t="s">
        <v>596</v>
      </c>
      <c r="S91" s="4" t="s">
        <v>597</v>
      </c>
      <c r="T91" s="4" t="s">
        <v>594</v>
      </c>
      <c r="U91" s="4" t="s">
        <v>594</v>
      </c>
      <c r="V91" s="4" t="s">
        <v>595</v>
      </c>
      <c r="W91" s="4" t="s">
        <v>595</v>
      </c>
      <c r="Y91" s="4" t="s">
        <v>595</v>
      </c>
      <c r="Z91" s="4" t="s">
        <v>596</v>
      </c>
      <c r="AA91" s="4" t="s">
        <v>597</v>
      </c>
      <c r="AB91" s="4" t="s">
        <v>595</v>
      </c>
      <c r="AC91" s="4" t="s">
        <v>595</v>
      </c>
      <c r="AD91" s="4" t="s">
        <v>596</v>
      </c>
      <c r="AE91" s="4" t="s">
        <v>597</v>
      </c>
      <c r="AF91" s="4" t="s">
        <v>596</v>
      </c>
      <c r="AG91" s="4" t="s">
        <v>597</v>
      </c>
      <c r="AH91"/>
      <c r="AI91" s="4" t="s">
        <v>594</v>
      </c>
      <c r="AJ91"/>
      <c r="AK91"/>
      <c r="AM91"/>
      <c r="AN91" s="4" t="s">
        <v>51</v>
      </c>
      <c r="AO91" s="4" t="s">
        <v>63</v>
      </c>
      <c r="AP91" s="4" t="s">
        <v>74</v>
      </c>
      <c r="AQ91" s="4" t="s">
        <v>86</v>
      </c>
      <c r="AR91" s="4" t="s">
        <v>51</v>
      </c>
      <c r="AS91" s="4" t="s">
        <v>51</v>
      </c>
      <c r="AT91" s="4" t="s">
        <v>63</v>
      </c>
      <c r="AU91" s="4" t="s">
        <v>63</v>
      </c>
      <c r="AW91" s="4" t="s">
        <v>63</v>
      </c>
      <c r="AX91" s="4" t="s">
        <v>74</v>
      </c>
      <c r="AY91" s="4" t="s">
        <v>86</v>
      </c>
      <c r="AZ91" s="4" t="s">
        <v>63</v>
      </c>
      <c r="BA91" s="4" t="s">
        <v>63</v>
      </c>
      <c r="BB91" s="4" t="s">
        <v>74</v>
      </c>
      <c r="BC91" s="4" t="s">
        <v>86</v>
      </c>
      <c r="BD91" s="4" t="s">
        <v>74</v>
      </c>
      <c r="BE91" s="4" t="s">
        <v>86</v>
      </c>
      <c r="BG91" s="4" t="s">
        <v>51</v>
      </c>
    </row>
    <row r="92" spans="14:60" hidden="1" x14ac:dyDescent="0.25">
      <c r="P92" s="4" t="s">
        <v>589</v>
      </c>
      <c r="Q92" s="4" t="s">
        <v>590</v>
      </c>
      <c r="R92" s="4" t="s">
        <v>591</v>
      </c>
      <c r="S92" s="4" t="s">
        <v>592</v>
      </c>
      <c r="T92" s="4" t="s">
        <v>589</v>
      </c>
      <c r="U92" s="4" t="s">
        <v>589</v>
      </c>
      <c r="V92" s="4" t="s">
        <v>590</v>
      </c>
      <c r="W92" s="4" t="s">
        <v>590</v>
      </c>
      <c r="Y92" s="4" t="s">
        <v>590</v>
      </c>
      <c r="Z92" s="4" t="s">
        <v>591</v>
      </c>
      <c r="AA92" s="4" t="s">
        <v>592</v>
      </c>
      <c r="AB92" s="4" t="s">
        <v>590</v>
      </c>
      <c r="AC92" s="4" t="s">
        <v>590</v>
      </c>
      <c r="AD92" s="4" t="s">
        <v>591</v>
      </c>
      <c r="AE92" s="4" t="s">
        <v>592</v>
      </c>
      <c r="AF92" s="4" t="s">
        <v>591</v>
      </c>
      <c r="AG92" s="4" t="s">
        <v>592</v>
      </c>
      <c r="AH92"/>
      <c r="AI92" s="4" t="s">
        <v>589</v>
      </c>
      <c r="AJ92"/>
      <c r="AK92"/>
      <c r="AM92"/>
      <c r="AN92" s="4" t="s">
        <v>52</v>
      </c>
      <c r="AO92" s="4" t="s">
        <v>64</v>
      </c>
      <c r="AP92" s="4" t="s">
        <v>75</v>
      </c>
      <c r="AQ92" s="4" t="s">
        <v>87</v>
      </c>
      <c r="AR92" s="4" t="s">
        <v>52</v>
      </c>
      <c r="AS92" s="4" t="s">
        <v>52</v>
      </c>
      <c r="AT92" s="4" t="s">
        <v>64</v>
      </c>
      <c r="AU92" s="4" t="s">
        <v>64</v>
      </c>
      <c r="AW92" s="4" t="s">
        <v>64</v>
      </c>
      <c r="AX92" s="4" t="s">
        <v>75</v>
      </c>
      <c r="AY92" s="4" t="s">
        <v>87</v>
      </c>
      <c r="AZ92" s="4" t="s">
        <v>64</v>
      </c>
      <c r="BA92" s="4" t="s">
        <v>64</v>
      </c>
      <c r="BB92" s="4" t="s">
        <v>75</v>
      </c>
      <c r="BC92" s="4" t="s">
        <v>87</v>
      </c>
      <c r="BD92" s="4" t="s">
        <v>75</v>
      </c>
      <c r="BE92" s="4" t="s">
        <v>87</v>
      </c>
      <c r="BG92" s="4" t="s">
        <v>52</v>
      </c>
    </row>
    <row r="93" spans="14:60" hidden="1" x14ac:dyDescent="0.25">
      <c r="P93" s="4" t="s">
        <v>584</v>
      </c>
      <c r="Q93" s="4" t="s">
        <v>585</v>
      </c>
      <c r="R93" s="4" t="s">
        <v>586</v>
      </c>
      <c r="S93" s="4" t="s">
        <v>587</v>
      </c>
      <c r="T93" s="4" t="s">
        <v>584</v>
      </c>
      <c r="U93" s="4" t="s">
        <v>584</v>
      </c>
      <c r="V93" s="4" t="s">
        <v>585</v>
      </c>
      <c r="W93" s="4" t="s">
        <v>585</v>
      </c>
      <c r="Y93" s="4" t="s">
        <v>585</v>
      </c>
      <c r="Z93" s="4" t="s">
        <v>586</v>
      </c>
      <c r="AA93" s="4" t="s">
        <v>587</v>
      </c>
      <c r="AB93" s="4" t="s">
        <v>585</v>
      </c>
      <c r="AC93" s="4" t="s">
        <v>585</v>
      </c>
      <c r="AD93" s="4" t="s">
        <v>586</v>
      </c>
      <c r="AE93" s="4" t="s">
        <v>587</v>
      </c>
      <c r="AF93" s="4" t="s">
        <v>586</v>
      </c>
      <c r="AG93" s="4" t="s">
        <v>587</v>
      </c>
      <c r="AH93"/>
      <c r="AI93" s="4" t="s">
        <v>584</v>
      </c>
      <c r="AJ93"/>
      <c r="AK93"/>
      <c r="AM93"/>
      <c r="AN93" s="4" t="s">
        <v>53</v>
      </c>
      <c r="AO93" s="4" t="s">
        <v>65</v>
      </c>
      <c r="AP93" s="4" t="s">
        <v>76</v>
      </c>
      <c r="AQ93" s="4" t="s">
        <v>88</v>
      </c>
      <c r="AR93" s="4" t="s">
        <v>53</v>
      </c>
      <c r="AS93" s="4" t="s">
        <v>53</v>
      </c>
      <c r="AT93" s="4" t="s">
        <v>65</v>
      </c>
      <c r="AU93" s="4" t="s">
        <v>65</v>
      </c>
      <c r="AW93" s="4" t="s">
        <v>65</v>
      </c>
      <c r="AX93" s="4" t="s">
        <v>76</v>
      </c>
      <c r="AY93" s="4" t="s">
        <v>88</v>
      </c>
      <c r="AZ93" s="4" t="s">
        <v>65</v>
      </c>
      <c r="BA93" s="4" t="s">
        <v>65</v>
      </c>
      <c r="BB93" s="4" t="s">
        <v>76</v>
      </c>
      <c r="BC93" s="4" t="s">
        <v>88</v>
      </c>
      <c r="BD93" s="4" t="s">
        <v>76</v>
      </c>
      <c r="BE93" s="4" t="s">
        <v>88</v>
      </c>
      <c r="BG93" s="4" t="s">
        <v>53</v>
      </c>
    </row>
    <row r="94" spans="14:60" hidden="1" x14ac:dyDescent="0.25">
      <c r="P94" s="4" t="s">
        <v>579</v>
      </c>
      <c r="Q94" s="4" t="s">
        <v>580</v>
      </c>
      <c r="R94" s="4" t="s">
        <v>581</v>
      </c>
      <c r="S94" s="4" t="s">
        <v>582</v>
      </c>
      <c r="T94" s="4" t="s">
        <v>579</v>
      </c>
      <c r="U94" s="4" t="s">
        <v>579</v>
      </c>
      <c r="V94" s="4" t="s">
        <v>580</v>
      </c>
      <c r="W94" s="4" t="s">
        <v>580</v>
      </c>
      <c r="Y94" s="4" t="s">
        <v>580</v>
      </c>
      <c r="Z94" s="4" t="s">
        <v>581</v>
      </c>
      <c r="AA94" s="4" t="s">
        <v>582</v>
      </c>
      <c r="AB94" s="4" t="s">
        <v>580</v>
      </c>
      <c r="AC94" s="4" t="s">
        <v>580</v>
      </c>
      <c r="AD94" s="4" t="s">
        <v>581</v>
      </c>
      <c r="AE94" s="4" t="s">
        <v>582</v>
      </c>
      <c r="AF94" s="4" t="s">
        <v>581</v>
      </c>
      <c r="AG94" s="4" t="s">
        <v>582</v>
      </c>
      <c r="AH94"/>
      <c r="AI94" s="4" t="s">
        <v>579</v>
      </c>
      <c r="AJ94"/>
      <c r="AK94"/>
      <c r="AM94"/>
      <c r="AN94" s="4" t="s">
        <v>54</v>
      </c>
      <c r="AO94" s="4" t="s">
        <v>66</v>
      </c>
      <c r="AP94" s="4" t="s">
        <v>77</v>
      </c>
      <c r="AQ94" s="4" t="s">
        <v>89</v>
      </c>
      <c r="AR94" s="4" t="s">
        <v>54</v>
      </c>
      <c r="AS94" s="4" t="s">
        <v>54</v>
      </c>
      <c r="AT94" s="4" t="s">
        <v>66</v>
      </c>
      <c r="AU94" s="4" t="s">
        <v>66</v>
      </c>
      <c r="AW94" s="4" t="s">
        <v>66</v>
      </c>
      <c r="AX94" s="4" t="s">
        <v>77</v>
      </c>
      <c r="AY94" s="4" t="s">
        <v>89</v>
      </c>
      <c r="AZ94" s="4" t="s">
        <v>66</v>
      </c>
      <c r="BA94" s="4" t="s">
        <v>66</v>
      </c>
      <c r="BB94" s="4" t="s">
        <v>77</v>
      </c>
      <c r="BC94" s="4" t="s">
        <v>89</v>
      </c>
      <c r="BD94" s="4" t="s">
        <v>77</v>
      </c>
      <c r="BE94" s="4" t="s">
        <v>89</v>
      </c>
      <c r="BG94" s="4" t="s">
        <v>54</v>
      </c>
    </row>
    <row r="95" spans="14:60" hidden="1" x14ac:dyDescent="0.25">
      <c r="P95" s="4" t="s">
        <v>574</v>
      </c>
      <c r="Q95" s="4" t="s">
        <v>575</v>
      </c>
      <c r="R95" s="4" t="s">
        <v>576</v>
      </c>
      <c r="S95" s="4" t="s">
        <v>577</v>
      </c>
      <c r="T95" s="4" t="s">
        <v>574</v>
      </c>
      <c r="U95" s="4" t="s">
        <v>574</v>
      </c>
      <c r="V95" s="4" t="s">
        <v>575</v>
      </c>
      <c r="W95" s="4" t="s">
        <v>575</v>
      </c>
      <c r="Y95" s="4" t="s">
        <v>575</v>
      </c>
      <c r="Z95" s="4" t="s">
        <v>576</v>
      </c>
      <c r="AA95" s="4" t="s">
        <v>577</v>
      </c>
      <c r="AB95" s="4" t="s">
        <v>575</v>
      </c>
      <c r="AC95" s="4" t="s">
        <v>575</v>
      </c>
      <c r="AD95" s="4" t="s">
        <v>576</v>
      </c>
      <c r="AE95" s="4" t="s">
        <v>577</v>
      </c>
      <c r="AF95" s="4" t="s">
        <v>576</v>
      </c>
      <c r="AG95" s="4" t="s">
        <v>577</v>
      </c>
      <c r="AH95"/>
      <c r="AI95" s="4" t="s">
        <v>574</v>
      </c>
      <c r="AJ95"/>
      <c r="AK95"/>
      <c r="AM95"/>
      <c r="AN95" s="4" t="s">
        <v>55</v>
      </c>
      <c r="AO95" s="4" t="s">
        <v>67</v>
      </c>
      <c r="AP95" s="4" t="s">
        <v>78</v>
      </c>
      <c r="AQ95" s="4" t="s">
        <v>90</v>
      </c>
      <c r="AR95" s="4" t="s">
        <v>55</v>
      </c>
      <c r="AS95" s="4" t="s">
        <v>55</v>
      </c>
      <c r="AT95" s="4" t="s">
        <v>67</v>
      </c>
      <c r="AU95" s="4" t="s">
        <v>67</v>
      </c>
      <c r="AW95" s="4" t="s">
        <v>67</v>
      </c>
      <c r="AX95" s="4" t="s">
        <v>78</v>
      </c>
      <c r="AY95" s="4" t="s">
        <v>90</v>
      </c>
      <c r="AZ95" s="4" t="s">
        <v>67</v>
      </c>
      <c r="BA95" s="4" t="s">
        <v>67</v>
      </c>
      <c r="BB95" s="4" t="s">
        <v>78</v>
      </c>
      <c r="BC95" s="4" t="s">
        <v>90</v>
      </c>
      <c r="BD95" s="4" t="s">
        <v>78</v>
      </c>
      <c r="BE95" s="4" t="s">
        <v>90</v>
      </c>
      <c r="BG95" s="4" t="s">
        <v>55</v>
      </c>
    </row>
    <row r="96" spans="14:60" hidden="1" x14ac:dyDescent="0.25">
      <c r="P96" s="4" t="s">
        <v>569</v>
      </c>
      <c r="Q96" s="4" t="s">
        <v>570</v>
      </c>
      <c r="R96" s="4" t="s">
        <v>571</v>
      </c>
      <c r="S96" s="4" t="s">
        <v>572</v>
      </c>
      <c r="T96" s="4" t="s">
        <v>569</v>
      </c>
      <c r="U96" s="4" t="s">
        <v>569</v>
      </c>
      <c r="V96" s="4" t="s">
        <v>570</v>
      </c>
      <c r="W96" s="4" t="s">
        <v>570</v>
      </c>
      <c r="Y96" s="4" t="s">
        <v>570</v>
      </c>
      <c r="Z96" s="4" t="s">
        <v>571</v>
      </c>
      <c r="AA96" s="4" t="s">
        <v>572</v>
      </c>
      <c r="AB96" s="4" t="s">
        <v>570</v>
      </c>
      <c r="AC96" s="4" t="s">
        <v>570</v>
      </c>
      <c r="AD96" s="4" t="s">
        <v>571</v>
      </c>
      <c r="AE96" s="4" t="s">
        <v>572</v>
      </c>
      <c r="AF96" s="4" t="s">
        <v>571</v>
      </c>
      <c r="AG96" s="4" t="s">
        <v>572</v>
      </c>
      <c r="AH96"/>
      <c r="AI96" s="4" t="s">
        <v>569</v>
      </c>
      <c r="AJ96"/>
      <c r="AK96"/>
      <c r="AM96"/>
      <c r="AN96" s="4" t="s">
        <v>56</v>
      </c>
      <c r="AO96" s="4" t="s">
        <v>314</v>
      </c>
      <c r="AP96" s="4" t="s">
        <v>79</v>
      </c>
      <c r="AQ96" s="4" t="s">
        <v>91</v>
      </c>
      <c r="AR96" s="4" t="s">
        <v>56</v>
      </c>
      <c r="AS96" s="4" t="s">
        <v>56</v>
      </c>
      <c r="AT96" s="4" t="s">
        <v>314</v>
      </c>
      <c r="AU96" s="4" t="s">
        <v>314</v>
      </c>
      <c r="AW96" s="4" t="s">
        <v>314</v>
      </c>
      <c r="AX96" s="4" t="s">
        <v>79</v>
      </c>
      <c r="AY96" s="4" t="s">
        <v>91</v>
      </c>
      <c r="AZ96" s="4" t="s">
        <v>314</v>
      </c>
      <c r="BA96" s="4" t="s">
        <v>314</v>
      </c>
      <c r="BB96" s="4" t="s">
        <v>79</v>
      </c>
      <c r="BC96" s="4" t="s">
        <v>91</v>
      </c>
      <c r="BD96" s="4" t="s">
        <v>79</v>
      </c>
      <c r="BE96" s="4" t="s">
        <v>91</v>
      </c>
      <c r="BG96" s="4" t="s">
        <v>56</v>
      </c>
    </row>
    <row r="97" spans="16:59" hidden="1" x14ac:dyDescent="0.25">
      <c r="P97" s="4"/>
      <c r="Q97" s="4"/>
      <c r="R97" s="4"/>
      <c r="S97" s="4"/>
      <c r="T97" s="4" t="s">
        <v>317</v>
      </c>
      <c r="U97" s="4" t="s">
        <v>318</v>
      </c>
      <c r="V97" s="4" t="s">
        <v>318</v>
      </c>
      <c r="W97" s="4" t="s">
        <v>319</v>
      </c>
      <c r="Y97" s="4"/>
      <c r="Z97" s="4"/>
      <c r="AA97" s="4"/>
      <c r="AB97" s="4" t="s">
        <v>318</v>
      </c>
      <c r="AC97" s="4" t="s">
        <v>319</v>
      </c>
      <c r="AD97" s="4" t="s">
        <v>319</v>
      </c>
      <c r="AF97" s="4" t="s">
        <v>319</v>
      </c>
      <c r="AG97" s="4"/>
      <c r="AH97"/>
      <c r="AI97" s="4" t="s">
        <v>319</v>
      </c>
      <c r="AJ97"/>
      <c r="AK97"/>
      <c r="AM97"/>
      <c r="AN97" s="4"/>
      <c r="AO97" s="4"/>
      <c r="AP97" s="4"/>
      <c r="AQ97" s="4"/>
      <c r="AR97" s="4" t="s">
        <v>317</v>
      </c>
      <c r="AS97" s="4" t="s">
        <v>318</v>
      </c>
      <c r="AT97" s="4" t="s">
        <v>318</v>
      </c>
      <c r="AU97" s="4" t="s">
        <v>319</v>
      </c>
      <c r="AW97" s="4"/>
      <c r="AX97" s="4"/>
      <c r="AY97" s="4"/>
      <c r="AZ97" s="4" t="s">
        <v>318</v>
      </c>
      <c r="BA97" s="4" t="s">
        <v>319</v>
      </c>
      <c r="BB97" s="4" t="s">
        <v>319</v>
      </c>
      <c r="BD97" s="4" t="s">
        <v>319</v>
      </c>
      <c r="BG97" s="4" t="s">
        <v>319</v>
      </c>
    </row>
    <row r="98" spans="16:59" hidden="1" x14ac:dyDescent="0.25">
      <c r="T98" s="4" t="s">
        <v>540</v>
      </c>
      <c r="U98" s="4" t="s">
        <v>541</v>
      </c>
      <c r="V98" s="4" t="s">
        <v>541</v>
      </c>
      <c r="W98" s="4" t="s">
        <v>542</v>
      </c>
      <c r="AB98" s="4" t="s">
        <v>541</v>
      </c>
      <c r="AC98" s="4" t="s">
        <v>542</v>
      </c>
      <c r="AD98" s="4" t="s">
        <v>542</v>
      </c>
      <c r="AF98" s="4" t="s">
        <v>542</v>
      </c>
      <c r="AG98"/>
      <c r="AH98"/>
      <c r="AI98" s="4" t="s">
        <v>542</v>
      </c>
      <c r="AJ98"/>
      <c r="AK98"/>
      <c r="AM98"/>
      <c r="AN98"/>
      <c r="AR98" s="4" t="s">
        <v>57</v>
      </c>
      <c r="AS98" s="4" t="s">
        <v>68</v>
      </c>
      <c r="AT98" s="4" t="s">
        <v>68</v>
      </c>
      <c r="AU98" s="4" t="s">
        <v>80</v>
      </c>
      <c r="AZ98" s="4" t="s">
        <v>68</v>
      </c>
      <c r="BA98" s="4" t="s">
        <v>80</v>
      </c>
      <c r="BB98" s="4" t="s">
        <v>80</v>
      </c>
      <c r="BD98" s="4" t="s">
        <v>80</v>
      </c>
      <c r="BG98" s="4" t="s">
        <v>80</v>
      </c>
    </row>
    <row r="99" spans="16:59" hidden="1" x14ac:dyDescent="0.25">
      <c r="T99" s="4" t="s">
        <v>545</v>
      </c>
      <c r="U99" s="4" t="s">
        <v>546</v>
      </c>
      <c r="V99" s="4" t="s">
        <v>546</v>
      </c>
      <c r="W99" s="4" t="s">
        <v>547</v>
      </c>
      <c r="AB99" s="4" t="s">
        <v>546</v>
      </c>
      <c r="AC99" s="4" t="s">
        <v>547</v>
      </c>
      <c r="AD99" s="4" t="s">
        <v>547</v>
      </c>
      <c r="AF99" s="4" t="s">
        <v>547</v>
      </c>
      <c r="AG99"/>
      <c r="AH99"/>
      <c r="AI99" s="4" t="s">
        <v>547</v>
      </c>
      <c r="AJ99"/>
      <c r="AK99"/>
      <c r="AM99"/>
      <c r="AN99"/>
      <c r="AR99" s="4" t="s">
        <v>58</v>
      </c>
      <c r="AS99" s="4" t="s">
        <v>69</v>
      </c>
      <c r="AT99" s="4" t="s">
        <v>69</v>
      </c>
      <c r="AU99" s="4" t="s">
        <v>81</v>
      </c>
      <c r="AZ99" s="4" t="s">
        <v>69</v>
      </c>
      <c r="BA99" s="4" t="s">
        <v>81</v>
      </c>
      <c r="BB99" s="4" t="s">
        <v>81</v>
      </c>
      <c r="BD99" s="4" t="s">
        <v>81</v>
      </c>
      <c r="BG99" s="4" t="s">
        <v>81</v>
      </c>
    </row>
    <row r="100" spans="16:59" hidden="1" x14ac:dyDescent="0.25">
      <c r="T100" s="4" t="s">
        <v>550</v>
      </c>
      <c r="U100" s="4" t="s">
        <v>551</v>
      </c>
      <c r="V100" s="4" t="s">
        <v>551</v>
      </c>
      <c r="W100" s="4" t="s">
        <v>552</v>
      </c>
      <c r="AB100" s="4" t="s">
        <v>551</v>
      </c>
      <c r="AC100" s="4" t="s">
        <v>552</v>
      </c>
      <c r="AD100" s="4" t="s">
        <v>552</v>
      </c>
      <c r="AF100" s="4" t="s">
        <v>552</v>
      </c>
      <c r="AG100"/>
      <c r="AH100"/>
      <c r="AI100" s="4" t="s">
        <v>552</v>
      </c>
      <c r="AJ100"/>
      <c r="AK100"/>
      <c r="AM100"/>
      <c r="AN100"/>
      <c r="AR100" s="4" t="s">
        <v>59</v>
      </c>
      <c r="AS100" s="4" t="s">
        <v>70</v>
      </c>
      <c r="AT100" s="4" t="s">
        <v>70</v>
      </c>
      <c r="AU100" s="4" t="s">
        <v>82</v>
      </c>
      <c r="AZ100" s="4" t="s">
        <v>70</v>
      </c>
      <c r="BA100" s="4" t="s">
        <v>82</v>
      </c>
      <c r="BB100" s="4" t="s">
        <v>82</v>
      </c>
      <c r="BD100" s="4" t="s">
        <v>82</v>
      </c>
      <c r="BG100" s="4" t="s">
        <v>82</v>
      </c>
    </row>
    <row r="101" spans="16:59" hidden="1" x14ac:dyDescent="0.25">
      <c r="T101" s="4" t="s">
        <v>555</v>
      </c>
      <c r="U101" s="4" t="s">
        <v>556</v>
      </c>
      <c r="V101" s="4" t="s">
        <v>556</v>
      </c>
      <c r="W101" s="4" t="s">
        <v>557</v>
      </c>
      <c r="AB101" s="4" t="s">
        <v>556</v>
      </c>
      <c r="AC101" s="4" t="s">
        <v>557</v>
      </c>
      <c r="AD101" s="4" t="s">
        <v>557</v>
      </c>
      <c r="AF101" s="4" t="s">
        <v>557</v>
      </c>
      <c r="AG101"/>
      <c r="AH101"/>
      <c r="AI101" s="4" t="s">
        <v>557</v>
      </c>
      <c r="AJ101"/>
      <c r="AK101"/>
      <c r="AM101"/>
      <c r="AN101"/>
      <c r="AR101" s="4" t="s">
        <v>60</v>
      </c>
      <c r="AS101" s="4" t="s">
        <v>71</v>
      </c>
      <c r="AT101" s="4" t="s">
        <v>71</v>
      </c>
      <c r="AU101" s="4" t="s">
        <v>83</v>
      </c>
      <c r="AZ101" s="4" t="s">
        <v>71</v>
      </c>
      <c r="BA101" s="4" t="s">
        <v>83</v>
      </c>
      <c r="BB101" s="4" t="s">
        <v>83</v>
      </c>
      <c r="BD101" s="4" t="s">
        <v>83</v>
      </c>
      <c r="BG101" s="4" t="s">
        <v>83</v>
      </c>
    </row>
    <row r="102" spans="16:59" hidden="1" x14ac:dyDescent="0.25">
      <c r="T102" s="4" t="s">
        <v>560</v>
      </c>
      <c r="U102" s="4" t="s">
        <v>561</v>
      </c>
      <c r="V102" s="4" t="s">
        <v>561</v>
      </c>
      <c r="W102" s="4" t="s">
        <v>562</v>
      </c>
      <c r="AB102" s="4" t="s">
        <v>561</v>
      </c>
      <c r="AC102" s="4" t="s">
        <v>562</v>
      </c>
      <c r="AD102" s="4" t="s">
        <v>562</v>
      </c>
      <c r="AF102" s="4" t="s">
        <v>562</v>
      </c>
      <c r="AG102"/>
      <c r="AH102"/>
      <c r="AI102" s="4" t="s">
        <v>562</v>
      </c>
      <c r="AJ102"/>
      <c r="AK102"/>
      <c r="AM102"/>
      <c r="AN102"/>
      <c r="AR102" s="4" t="s">
        <v>61</v>
      </c>
      <c r="AS102" s="4" t="s">
        <v>72</v>
      </c>
      <c r="AT102" s="4" t="s">
        <v>72</v>
      </c>
      <c r="AU102" s="4" t="s">
        <v>84</v>
      </c>
      <c r="AZ102" s="4" t="s">
        <v>72</v>
      </c>
      <c r="BA102" s="4" t="s">
        <v>84</v>
      </c>
      <c r="BB102" s="4" t="s">
        <v>84</v>
      </c>
      <c r="BD102" s="4" t="s">
        <v>84</v>
      </c>
      <c r="BG102" s="4" t="s">
        <v>84</v>
      </c>
    </row>
    <row r="103" spans="16:59" hidden="1" x14ac:dyDescent="0.25">
      <c r="T103" s="4" t="s">
        <v>565</v>
      </c>
      <c r="U103" s="4" t="s">
        <v>566</v>
      </c>
      <c r="V103" s="4" t="s">
        <v>566</v>
      </c>
      <c r="W103" s="4" t="s">
        <v>567</v>
      </c>
      <c r="AB103" s="4" t="s">
        <v>566</v>
      </c>
      <c r="AC103" s="4" t="s">
        <v>567</v>
      </c>
      <c r="AD103" s="4" t="s">
        <v>567</v>
      </c>
      <c r="AF103" s="4" t="s">
        <v>567</v>
      </c>
      <c r="AG103"/>
      <c r="AH103"/>
      <c r="AI103" s="4" t="s">
        <v>567</v>
      </c>
      <c r="AJ103"/>
      <c r="AK103"/>
      <c r="AM103"/>
      <c r="AN103"/>
      <c r="AR103" s="4" t="s">
        <v>62</v>
      </c>
      <c r="AS103" s="4" t="s">
        <v>73</v>
      </c>
      <c r="AT103" s="4" t="s">
        <v>73</v>
      </c>
      <c r="AU103" s="4" t="s">
        <v>85</v>
      </c>
      <c r="AZ103" s="4" t="s">
        <v>73</v>
      </c>
      <c r="BA103" s="4" t="s">
        <v>85</v>
      </c>
      <c r="BB103" s="4" t="s">
        <v>85</v>
      </c>
      <c r="BD103" s="4" t="s">
        <v>85</v>
      </c>
      <c r="BG103" s="4" t="s">
        <v>85</v>
      </c>
    </row>
    <row r="104" spans="16:59" hidden="1" x14ac:dyDescent="0.25">
      <c r="T104" s="4" t="s">
        <v>595</v>
      </c>
      <c r="U104" s="4" t="s">
        <v>596</v>
      </c>
      <c r="V104" s="4" t="s">
        <v>596</v>
      </c>
      <c r="W104" s="4" t="s">
        <v>597</v>
      </c>
      <c r="AB104" s="4" t="s">
        <v>596</v>
      </c>
      <c r="AC104" s="4" t="s">
        <v>597</v>
      </c>
      <c r="AD104" s="4" t="s">
        <v>597</v>
      </c>
      <c r="AF104" s="4" t="s">
        <v>597</v>
      </c>
      <c r="AG104"/>
      <c r="AH104"/>
      <c r="AI104" s="4" t="s">
        <v>597</v>
      </c>
      <c r="AJ104"/>
      <c r="AK104"/>
      <c r="AM104"/>
      <c r="AN104"/>
      <c r="AR104" s="4" t="s">
        <v>63</v>
      </c>
      <c r="AS104" s="4" t="s">
        <v>74</v>
      </c>
      <c r="AT104" s="4" t="s">
        <v>74</v>
      </c>
      <c r="AU104" s="4" t="s">
        <v>86</v>
      </c>
      <c r="AZ104" s="4" t="s">
        <v>74</v>
      </c>
      <c r="BA104" s="4" t="s">
        <v>86</v>
      </c>
      <c r="BB104" s="4" t="s">
        <v>86</v>
      </c>
      <c r="BD104" s="4" t="s">
        <v>86</v>
      </c>
      <c r="BG104" s="4" t="s">
        <v>86</v>
      </c>
    </row>
    <row r="105" spans="16:59" hidden="1" x14ac:dyDescent="0.25">
      <c r="T105" s="4" t="s">
        <v>590</v>
      </c>
      <c r="U105" s="4" t="s">
        <v>591</v>
      </c>
      <c r="V105" s="4" t="s">
        <v>591</v>
      </c>
      <c r="W105" s="4" t="s">
        <v>592</v>
      </c>
      <c r="AB105" s="4" t="s">
        <v>591</v>
      </c>
      <c r="AC105" s="4" t="s">
        <v>592</v>
      </c>
      <c r="AD105" s="4" t="s">
        <v>592</v>
      </c>
      <c r="AF105" s="4" t="s">
        <v>592</v>
      </c>
      <c r="AG105"/>
      <c r="AH105"/>
      <c r="AI105" s="4" t="s">
        <v>592</v>
      </c>
      <c r="AJ105"/>
      <c r="AK105"/>
      <c r="AM105"/>
      <c r="AN105"/>
      <c r="AR105" s="4" t="s">
        <v>64</v>
      </c>
      <c r="AS105" s="4" t="s">
        <v>75</v>
      </c>
      <c r="AT105" s="4" t="s">
        <v>75</v>
      </c>
      <c r="AU105" s="4" t="s">
        <v>87</v>
      </c>
      <c r="AZ105" s="4" t="s">
        <v>75</v>
      </c>
      <c r="BA105" s="4" t="s">
        <v>87</v>
      </c>
      <c r="BB105" s="4" t="s">
        <v>87</v>
      </c>
      <c r="BD105" s="4" t="s">
        <v>87</v>
      </c>
      <c r="BG105" s="4" t="s">
        <v>87</v>
      </c>
    </row>
    <row r="106" spans="16:59" hidden="1" x14ac:dyDescent="0.25">
      <c r="T106" s="4" t="s">
        <v>585</v>
      </c>
      <c r="U106" s="4" t="s">
        <v>586</v>
      </c>
      <c r="V106" s="4" t="s">
        <v>586</v>
      </c>
      <c r="W106" s="4" t="s">
        <v>587</v>
      </c>
      <c r="AB106" s="4" t="s">
        <v>586</v>
      </c>
      <c r="AC106" s="4" t="s">
        <v>587</v>
      </c>
      <c r="AD106" s="4" t="s">
        <v>587</v>
      </c>
      <c r="AF106" s="4" t="s">
        <v>587</v>
      </c>
      <c r="AG106"/>
      <c r="AH106"/>
      <c r="AI106" s="4" t="s">
        <v>587</v>
      </c>
      <c r="AJ106"/>
      <c r="AK106"/>
      <c r="AM106"/>
      <c r="AN106"/>
      <c r="AR106" s="4" t="s">
        <v>65</v>
      </c>
      <c r="AS106" s="4" t="s">
        <v>76</v>
      </c>
      <c r="AT106" s="4" t="s">
        <v>76</v>
      </c>
      <c r="AU106" s="4" t="s">
        <v>88</v>
      </c>
      <c r="AZ106" s="4" t="s">
        <v>76</v>
      </c>
      <c r="BA106" s="4" t="s">
        <v>88</v>
      </c>
      <c r="BB106" s="4" t="s">
        <v>88</v>
      </c>
      <c r="BD106" s="4" t="s">
        <v>88</v>
      </c>
      <c r="BG106" s="4" t="s">
        <v>88</v>
      </c>
    </row>
    <row r="107" spans="16:59" hidden="1" x14ac:dyDescent="0.25">
      <c r="T107" s="4" t="s">
        <v>580</v>
      </c>
      <c r="U107" s="4" t="s">
        <v>581</v>
      </c>
      <c r="V107" s="4" t="s">
        <v>581</v>
      </c>
      <c r="W107" s="4" t="s">
        <v>582</v>
      </c>
      <c r="AB107" s="4" t="s">
        <v>581</v>
      </c>
      <c r="AC107" s="4" t="s">
        <v>582</v>
      </c>
      <c r="AD107" s="4" t="s">
        <v>582</v>
      </c>
      <c r="AF107" s="4" t="s">
        <v>582</v>
      </c>
      <c r="AG107"/>
      <c r="AH107"/>
      <c r="AI107" s="4" t="s">
        <v>582</v>
      </c>
      <c r="AJ107"/>
      <c r="AK107"/>
      <c r="AM107"/>
      <c r="AN107"/>
      <c r="AR107" s="4" t="s">
        <v>66</v>
      </c>
      <c r="AS107" s="4" t="s">
        <v>77</v>
      </c>
      <c r="AT107" s="4" t="s">
        <v>77</v>
      </c>
      <c r="AU107" s="4" t="s">
        <v>89</v>
      </c>
      <c r="AZ107" s="4" t="s">
        <v>77</v>
      </c>
      <c r="BA107" s="4" t="s">
        <v>89</v>
      </c>
      <c r="BB107" s="4" t="s">
        <v>89</v>
      </c>
      <c r="BD107" s="4" t="s">
        <v>89</v>
      </c>
      <c r="BG107" s="4" t="s">
        <v>89</v>
      </c>
    </row>
    <row r="108" spans="16:59" hidden="1" x14ac:dyDescent="0.25">
      <c r="T108" s="4" t="s">
        <v>575</v>
      </c>
      <c r="U108" s="4" t="s">
        <v>576</v>
      </c>
      <c r="V108" s="4" t="s">
        <v>576</v>
      </c>
      <c r="W108" s="4" t="s">
        <v>577</v>
      </c>
      <c r="AB108" s="4" t="s">
        <v>576</v>
      </c>
      <c r="AC108" s="4" t="s">
        <v>577</v>
      </c>
      <c r="AD108" s="4" t="s">
        <v>577</v>
      </c>
      <c r="AF108" s="4" t="s">
        <v>577</v>
      </c>
      <c r="AG108"/>
      <c r="AH108"/>
      <c r="AI108" s="4" t="s">
        <v>577</v>
      </c>
      <c r="AJ108"/>
      <c r="AK108"/>
      <c r="AM108"/>
      <c r="AN108"/>
      <c r="AR108" s="4" t="s">
        <v>67</v>
      </c>
      <c r="AS108" s="4" t="s">
        <v>78</v>
      </c>
      <c r="AT108" s="4" t="s">
        <v>78</v>
      </c>
      <c r="AU108" s="4" t="s">
        <v>90</v>
      </c>
      <c r="AZ108" s="4" t="s">
        <v>78</v>
      </c>
      <c r="BA108" s="4" t="s">
        <v>90</v>
      </c>
      <c r="BB108" s="4" t="s">
        <v>90</v>
      </c>
      <c r="BD108" s="4" t="s">
        <v>90</v>
      </c>
      <c r="BG108" s="4" t="s">
        <v>90</v>
      </c>
    </row>
    <row r="109" spans="16:59" hidden="1" x14ac:dyDescent="0.25">
      <c r="T109" s="4" t="s">
        <v>570</v>
      </c>
      <c r="U109" s="4" t="s">
        <v>571</v>
      </c>
      <c r="V109" s="4" t="s">
        <v>571</v>
      </c>
      <c r="W109" s="4" t="s">
        <v>572</v>
      </c>
      <c r="AB109" s="4" t="s">
        <v>571</v>
      </c>
      <c r="AC109" s="4" t="s">
        <v>572</v>
      </c>
      <c r="AD109" s="4" t="s">
        <v>572</v>
      </c>
      <c r="AF109" s="4" t="s">
        <v>572</v>
      </c>
      <c r="AG109"/>
      <c r="AH109"/>
      <c r="AI109" s="4" t="s">
        <v>572</v>
      </c>
      <c r="AJ109"/>
      <c r="AK109"/>
      <c r="AM109"/>
      <c r="AN109"/>
      <c r="AR109" s="4" t="s">
        <v>314</v>
      </c>
      <c r="AS109" s="4" t="s">
        <v>79</v>
      </c>
      <c r="AT109" s="4" t="s">
        <v>79</v>
      </c>
      <c r="AU109" s="4" t="s">
        <v>91</v>
      </c>
      <c r="AZ109" s="4" t="s">
        <v>79</v>
      </c>
      <c r="BA109" s="4" t="s">
        <v>91</v>
      </c>
      <c r="BB109" s="4" t="s">
        <v>91</v>
      </c>
      <c r="BD109" s="4" t="s">
        <v>91</v>
      </c>
      <c r="BG109" s="4" t="s">
        <v>91</v>
      </c>
    </row>
    <row r="110" spans="16:59" hidden="1" x14ac:dyDescent="0.25">
      <c r="AF110"/>
      <c r="AG110"/>
      <c r="AH110"/>
      <c r="AI110"/>
      <c r="AJ110"/>
      <c r="AK110"/>
      <c r="AM110"/>
      <c r="AN110"/>
    </row>
    <row r="111" spans="16:59" hidden="1" x14ac:dyDescent="0.25">
      <c r="AF111"/>
      <c r="AG111"/>
      <c r="AH111"/>
      <c r="AI111"/>
      <c r="AJ111"/>
      <c r="AK111"/>
      <c r="AM111"/>
      <c r="AN111"/>
    </row>
    <row r="112" spans="16:59" hidden="1" x14ac:dyDescent="0.25">
      <c r="AF112"/>
      <c r="AG112"/>
      <c r="AH112"/>
      <c r="AI112"/>
      <c r="AJ112"/>
      <c r="AK112"/>
      <c r="AM112"/>
      <c r="AN112"/>
    </row>
    <row r="113" spans="32:40" hidden="1" x14ac:dyDescent="0.25">
      <c r="AF113"/>
      <c r="AG113"/>
      <c r="AH113"/>
      <c r="AI113"/>
      <c r="AJ113"/>
      <c r="AK113"/>
      <c r="AM113"/>
      <c r="AN113"/>
    </row>
    <row r="114" spans="32:40" hidden="1" x14ac:dyDescent="0.25">
      <c r="AF114"/>
      <c r="AG114"/>
      <c r="AH114"/>
      <c r="AI114"/>
      <c r="AJ114"/>
      <c r="AK114"/>
      <c r="AM114"/>
      <c r="AN114"/>
    </row>
    <row r="115" spans="32:40" hidden="1" x14ac:dyDescent="0.25">
      <c r="AF115"/>
      <c r="AG115"/>
      <c r="AH115"/>
      <c r="AI115"/>
      <c r="AJ115"/>
      <c r="AK115"/>
      <c r="AM115"/>
      <c r="AN115"/>
    </row>
    <row r="116" spans="32:40" hidden="1" x14ac:dyDescent="0.25">
      <c r="AF116"/>
      <c r="AG116"/>
      <c r="AH116"/>
      <c r="AI116"/>
      <c r="AJ116"/>
      <c r="AK116"/>
      <c r="AM116"/>
      <c r="AN116"/>
    </row>
    <row r="117" spans="32:40" hidden="1" x14ac:dyDescent="0.25">
      <c r="AF117"/>
      <c r="AG117"/>
      <c r="AH117"/>
      <c r="AI117"/>
      <c r="AJ117"/>
      <c r="AK117"/>
      <c r="AM117"/>
      <c r="AN117"/>
    </row>
    <row r="118" spans="32:40" hidden="1" x14ac:dyDescent="0.25">
      <c r="AF118"/>
      <c r="AG118"/>
      <c r="AH118"/>
      <c r="AI118"/>
      <c r="AJ118"/>
      <c r="AK118"/>
      <c r="AM118"/>
      <c r="AN118"/>
    </row>
    <row r="119" spans="32:40" hidden="1" x14ac:dyDescent="0.25">
      <c r="AF119"/>
      <c r="AG119"/>
      <c r="AH119"/>
      <c r="AI119"/>
      <c r="AJ119"/>
      <c r="AK119"/>
      <c r="AM119"/>
      <c r="AN119"/>
    </row>
    <row r="120" spans="32:40" hidden="1" x14ac:dyDescent="0.25">
      <c r="AF120"/>
      <c r="AG120"/>
      <c r="AH120"/>
      <c r="AI120"/>
      <c r="AJ120"/>
      <c r="AK120"/>
      <c r="AM120"/>
      <c r="AN120"/>
    </row>
    <row r="121" spans="32:40" hidden="1" x14ac:dyDescent="0.25">
      <c r="AF121"/>
      <c r="AG121"/>
      <c r="AH121"/>
      <c r="AI121"/>
      <c r="AJ121"/>
      <c r="AK121"/>
      <c r="AM121"/>
      <c r="AN121"/>
    </row>
    <row r="122" spans="32:40" hidden="1" x14ac:dyDescent="0.25">
      <c r="AF122"/>
      <c r="AG122"/>
      <c r="AH122"/>
      <c r="AI122"/>
      <c r="AJ122"/>
      <c r="AK122"/>
      <c r="AM122"/>
      <c r="AN122"/>
    </row>
    <row r="123" spans="32:40" hidden="1" x14ac:dyDescent="0.25">
      <c r="AF123"/>
      <c r="AG123"/>
      <c r="AH123"/>
      <c r="AI123"/>
      <c r="AJ123"/>
      <c r="AK123"/>
      <c r="AM123"/>
      <c r="AN123"/>
    </row>
    <row r="124" spans="32:40" hidden="1" x14ac:dyDescent="0.25">
      <c r="AF124"/>
      <c r="AG124"/>
      <c r="AH124"/>
      <c r="AI124"/>
      <c r="AJ124"/>
      <c r="AK124"/>
      <c r="AM124"/>
      <c r="AN124"/>
    </row>
    <row r="125" spans="32:40" hidden="1" x14ac:dyDescent="0.25">
      <c r="AF125"/>
      <c r="AG125"/>
      <c r="AH125"/>
      <c r="AI125"/>
      <c r="AJ125"/>
      <c r="AK125"/>
      <c r="AM125"/>
      <c r="AN125"/>
    </row>
    <row r="126" spans="32:40" hidden="1" x14ac:dyDescent="0.25">
      <c r="AF126"/>
      <c r="AG126"/>
      <c r="AH126"/>
      <c r="AI126"/>
      <c r="AJ126"/>
      <c r="AK126"/>
      <c r="AM126"/>
      <c r="AN126"/>
    </row>
    <row r="127" spans="32:40" hidden="1" x14ac:dyDescent="0.25">
      <c r="AF127"/>
      <c r="AG127"/>
      <c r="AH127"/>
      <c r="AI127"/>
      <c r="AJ127"/>
      <c r="AK127"/>
      <c r="AM127"/>
      <c r="AN127"/>
    </row>
    <row r="128" spans="32:40" hidden="1" x14ac:dyDescent="0.25">
      <c r="AF128"/>
      <c r="AG128"/>
      <c r="AH128"/>
      <c r="AI128"/>
      <c r="AJ128"/>
      <c r="AK128"/>
      <c r="AM128"/>
      <c r="AN128"/>
    </row>
    <row r="129" spans="2:40" hidden="1" x14ac:dyDescent="0.25">
      <c r="AF129"/>
      <c r="AG129"/>
      <c r="AH129"/>
      <c r="AI129"/>
      <c r="AJ129"/>
      <c r="AK129"/>
      <c r="AM129"/>
      <c r="AN129"/>
    </row>
    <row r="130" spans="2:40" hidden="1" x14ac:dyDescent="0.25">
      <c r="AF130"/>
      <c r="AG130"/>
      <c r="AH130"/>
      <c r="AI130"/>
      <c r="AJ130"/>
      <c r="AK130"/>
      <c r="AM130"/>
      <c r="AN130"/>
    </row>
    <row r="131" spans="2:40" s="6" customFormat="1" x14ac:dyDescent="0.25">
      <c r="H131" s="87"/>
      <c r="I131" s="87"/>
      <c r="P131" s="16"/>
      <c r="S131" s="16"/>
      <c r="V131" s="16"/>
      <c r="Y131" s="16"/>
      <c r="AB131" s="16"/>
      <c r="AE131" s="16"/>
    </row>
    <row r="132" spans="2:40" s="6" customFormat="1" x14ac:dyDescent="0.25">
      <c r="B132" s="22"/>
      <c r="E132" s="87"/>
      <c r="F132" s="87"/>
      <c r="G132" s="87"/>
      <c r="H132" s="87"/>
      <c r="I132" s="87"/>
      <c r="P132" s="16"/>
      <c r="S132" s="16"/>
      <c r="V132" s="16"/>
      <c r="Y132" s="16"/>
      <c r="AB132" s="16"/>
      <c r="AE132" s="16"/>
    </row>
    <row r="133" spans="2:40" s="6" customFormat="1" x14ac:dyDescent="0.25">
      <c r="B133" s="22"/>
      <c r="E133" s="87"/>
      <c r="F133" s="87"/>
      <c r="G133" s="87"/>
      <c r="H133" s="87"/>
      <c r="I133" s="87"/>
      <c r="P133" s="16"/>
      <c r="S133" s="16"/>
      <c r="V133" s="16"/>
      <c r="Y133" s="16"/>
      <c r="AB133" s="16"/>
      <c r="AE133" s="16"/>
    </row>
    <row r="134" spans="2:40" s="6" customFormat="1" x14ac:dyDescent="0.25">
      <c r="B134" s="22"/>
      <c r="E134" s="87"/>
      <c r="F134" s="87"/>
      <c r="G134" s="87"/>
      <c r="H134" s="87"/>
      <c r="I134" s="87"/>
      <c r="P134" s="16"/>
      <c r="S134" s="16"/>
      <c r="V134" s="16"/>
      <c r="Y134" s="16"/>
      <c r="AB134" s="16"/>
      <c r="AE134" s="16"/>
    </row>
    <row r="135" spans="2:40" s="6" customFormat="1" x14ac:dyDescent="0.25">
      <c r="B135" s="22"/>
      <c r="E135" s="87"/>
      <c r="F135" s="87"/>
      <c r="G135" s="87"/>
      <c r="H135" s="87"/>
      <c r="I135" s="87"/>
      <c r="P135" s="16"/>
      <c r="S135" s="16"/>
      <c r="V135" s="16"/>
      <c r="Y135" s="16"/>
      <c r="AB135" s="16"/>
      <c r="AE135" s="16"/>
    </row>
    <row r="136" spans="2:40" s="6" customFormat="1" x14ac:dyDescent="0.25">
      <c r="B136" s="22"/>
      <c r="E136" s="87"/>
      <c r="F136" s="87"/>
      <c r="G136" s="87"/>
      <c r="H136" s="87"/>
      <c r="I136" s="87"/>
      <c r="P136" s="16"/>
      <c r="S136" s="16"/>
      <c r="V136" s="16"/>
      <c r="Y136" s="16"/>
      <c r="AB136" s="16"/>
      <c r="AE136" s="16"/>
    </row>
    <row r="137" spans="2:40" s="6" customFormat="1" x14ac:dyDescent="0.25">
      <c r="B137" s="22"/>
      <c r="E137" s="87"/>
      <c r="F137" s="87"/>
      <c r="G137" s="87"/>
      <c r="H137" s="87"/>
      <c r="I137" s="87"/>
      <c r="P137" s="16"/>
      <c r="S137" s="16"/>
      <c r="V137" s="16"/>
      <c r="Y137" s="16"/>
      <c r="AB137" s="16"/>
      <c r="AE137" s="16"/>
    </row>
    <row r="138" spans="2:40" s="6" customFormat="1" x14ac:dyDescent="0.25">
      <c r="B138" s="22"/>
      <c r="E138" s="87"/>
      <c r="F138" s="87"/>
      <c r="G138" s="87"/>
      <c r="H138" s="87"/>
      <c r="I138" s="87"/>
      <c r="P138" s="16"/>
      <c r="S138" s="16"/>
      <c r="V138" s="16"/>
      <c r="Y138" s="16"/>
      <c r="AB138" s="16"/>
      <c r="AE138" s="16"/>
    </row>
    <row r="139" spans="2:40" s="6" customFormat="1" x14ac:dyDescent="0.25">
      <c r="B139" s="22"/>
      <c r="E139" s="87"/>
      <c r="F139" s="87"/>
      <c r="G139" s="87"/>
      <c r="H139" s="87"/>
      <c r="I139" s="87"/>
      <c r="P139" s="16"/>
      <c r="S139" s="16"/>
      <c r="V139" s="16"/>
      <c r="Y139" s="16"/>
      <c r="AB139" s="16"/>
      <c r="AE139" s="16"/>
    </row>
    <row r="140" spans="2:40" s="6" customFormat="1" x14ac:dyDescent="0.25">
      <c r="B140" s="22"/>
      <c r="E140" s="87"/>
      <c r="F140" s="87"/>
      <c r="G140" s="87"/>
      <c r="H140" s="87"/>
      <c r="I140" s="87"/>
      <c r="P140" s="16"/>
      <c r="S140" s="16"/>
      <c r="V140" s="16"/>
      <c r="Y140" s="16"/>
      <c r="AB140" s="16"/>
      <c r="AE140" s="16"/>
    </row>
    <row r="141" spans="2:40" s="6" customFormat="1" x14ac:dyDescent="0.25">
      <c r="B141" s="22"/>
      <c r="E141" s="87"/>
      <c r="F141" s="87"/>
      <c r="G141" s="87"/>
      <c r="H141" s="87"/>
      <c r="I141" s="87"/>
      <c r="P141" s="16"/>
      <c r="S141" s="16"/>
      <c r="V141" s="16"/>
      <c r="Y141" s="16"/>
      <c r="AB141" s="16"/>
      <c r="AE141" s="16"/>
    </row>
    <row r="142" spans="2:40" s="6" customFormat="1" x14ac:dyDescent="0.25">
      <c r="B142" s="22"/>
      <c r="E142" s="87"/>
      <c r="F142" s="87"/>
      <c r="G142" s="87"/>
      <c r="H142" s="87"/>
      <c r="I142" s="87"/>
      <c r="P142" s="16"/>
      <c r="S142" s="16"/>
      <c r="V142" s="16"/>
      <c r="Y142" s="16"/>
      <c r="AB142" s="16"/>
      <c r="AE142" s="16"/>
    </row>
    <row r="143" spans="2:40" s="6" customFormat="1" x14ac:dyDescent="0.25">
      <c r="B143" s="22"/>
      <c r="E143" s="87"/>
      <c r="F143" s="87"/>
      <c r="G143" s="87"/>
      <c r="H143" s="87"/>
      <c r="I143" s="87"/>
      <c r="P143" s="16"/>
      <c r="S143" s="16"/>
      <c r="V143" s="16"/>
      <c r="Y143" s="16"/>
      <c r="AB143" s="16"/>
      <c r="AE143" s="16"/>
    </row>
    <row r="144" spans="2:40" s="6" customFormat="1" x14ac:dyDescent="0.25">
      <c r="B144" s="22"/>
      <c r="E144" s="87"/>
      <c r="F144" s="87"/>
      <c r="G144" s="87"/>
      <c r="H144" s="87"/>
      <c r="I144" s="87"/>
      <c r="P144" s="16"/>
      <c r="S144" s="16"/>
      <c r="V144" s="16"/>
      <c r="Y144" s="16"/>
      <c r="AB144" s="16"/>
      <c r="AE144" s="16"/>
    </row>
    <row r="145" spans="2:31" s="6" customFormat="1" x14ac:dyDescent="0.25">
      <c r="B145" s="22"/>
      <c r="E145" s="87"/>
      <c r="F145" s="87"/>
      <c r="G145" s="87"/>
      <c r="H145" s="87"/>
      <c r="I145" s="87"/>
      <c r="P145" s="16"/>
      <c r="S145" s="16"/>
      <c r="V145" s="16"/>
      <c r="Y145" s="16"/>
      <c r="AB145" s="16"/>
      <c r="AE145" s="16"/>
    </row>
    <row r="146" spans="2:31" s="6" customFormat="1" x14ac:dyDescent="0.25">
      <c r="B146" s="22"/>
      <c r="E146" s="87"/>
      <c r="F146" s="87"/>
      <c r="G146" s="87"/>
      <c r="H146" s="87"/>
      <c r="I146" s="87"/>
      <c r="P146" s="16"/>
      <c r="S146" s="16"/>
      <c r="V146" s="16"/>
      <c r="Y146" s="16"/>
      <c r="AB146" s="16"/>
      <c r="AE146" s="16"/>
    </row>
    <row r="147" spans="2:31" s="6" customFormat="1" x14ac:dyDescent="0.25">
      <c r="B147" s="22"/>
      <c r="E147" s="87"/>
      <c r="F147" s="87"/>
      <c r="G147" s="87"/>
      <c r="H147" s="87"/>
      <c r="I147" s="87"/>
      <c r="P147" s="16"/>
      <c r="S147" s="16"/>
      <c r="V147" s="16"/>
      <c r="Y147" s="16"/>
      <c r="AB147" s="16"/>
      <c r="AE147" s="16"/>
    </row>
    <row r="148" spans="2:31" s="6" customFormat="1" x14ac:dyDescent="0.25">
      <c r="B148" s="22"/>
      <c r="E148" s="87"/>
      <c r="F148" s="87"/>
      <c r="G148" s="87"/>
      <c r="H148" s="87"/>
      <c r="I148" s="87"/>
      <c r="P148" s="16"/>
      <c r="S148" s="16"/>
      <c r="V148" s="16"/>
      <c r="Y148" s="16"/>
      <c r="AB148" s="16"/>
      <c r="AE148" s="16"/>
    </row>
    <row r="149" spans="2:31" s="6" customFormat="1" x14ac:dyDescent="0.25">
      <c r="B149" s="22"/>
      <c r="E149" s="87"/>
      <c r="F149" s="87"/>
      <c r="G149" s="87"/>
      <c r="H149" s="87"/>
      <c r="I149" s="87"/>
      <c r="P149" s="16"/>
      <c r="S149" s="16"/>
      <c r="V149" s="16"/>
      <c r="Y149" s="16"/>
      <c r="AB149" s="16"/>
      <c r="AE149" s="16"/>
    </row>
    <row r="150" spans="2:31" s="6" customFormat="1" x14ac:dyDescent="0.25">
      <c r="B150" s="22"/>
      <c r="E150" s="87"/>
      <c r="F150" s="87"/>
      <c r="G150" s="87"/>
      <c r="H150" s="87"/>
      <c r="I150" s="87"/>
      <c r="P150" s="16"/>
      <c r="S150" s="16"/>
      <c r="V150" s="16"/>
      <c r="Y150" s="16"/>
      <c r="AB150" s="16"/>
      <c r="AE150" s="16"/>
    </row>
    <row r="151" spans="2:31" s="6" customFormat="1" x14ac:dyDescent="0.25">
      <c r="B151" s="22"/>
      <c r="E151" s="87"/>
      <c r="F151" s="87"/>
      <c r="G151" s="87"/>
      <c r="H151" s="87"/>
      <c r="I151" s="87"/>
      <c r="P151" s="16"/>
      <c r="S151" s="16"/>
      <c r="V151" s="16"/>
      <c r="Y151" s="16"/>
      <c r="AB151" s="16"/>
      <c r="AE151" s="16"/>
    </row>
    <row r="152" spans="2:31" s="6" customFormat="1" x14ac:dyDescent="0.25">
      <c r="B152" s="22"/>
      <c r="E152" s="87"/>
      <c r="F152" s="87"/>
      <c r="G152" s="87"/>
      <c r="H152" s="87"/>
      <c r="I152" s="87"/>
      <c r="P152" s="16"/>
      <c r="S152" s="16"/>
      <c r="V152" s="16"/>
      <c r="Y152" s="16"/>
      <c r="AB152" s="16"/>
      <c r="AE152" s="16"/>
    </row>
    <row r="153" spans="2:31" s="6" customFormat="1" x14ac:dyDescent="0.25">
      <c r="B153" s="22"/>
      <c r="E153" s="87"/>
      <c r="F153" s="87"/>
      <c r="G153" s="87"/>
      <c r="H153" s="87"/>
      <c r="I153" s="87"/>
      <c r="P153" s="16"/>
      <c r="S153" s="16"/>
      <c r="V153" s="16"/>
      <c r="Y153" s="16"/>
      <c r="AB153" s="16"/>
      <c r="AE153" s="16"/>
    </row>
    <row r="154" spans="2:31" s="6" customFormat="1" x14ac:dyDescent="0.25">
      <c r="B154" s="22"/>
      <c r="E154" s="87"/>
      <c r="F154" s="87"/>
      <c r="G154" s="87"/>
      <c r="H154" s="87"/>
      <c r="I154" s="87"/>
      <c r="P154" s="16"/>
      <c r="S154" s="16"/>
      <c r="V154" s="16"/>
      <c r="Y154" s="16"/>
      <c r="AB154" s="16"/>
      <c r="AE154" s="16"/>
    </row>
    <row r="155" spans="2:31" s="6" customFormat="1" x14ac:dyDescent="0.25">
      <c r="B155" s="22"/>
      <c r="E155" s="87"/>
      <c r="F155" s="87"/>
      <c r="G155" s="87"/>
      <c r="H155" s="87"/>
      <c r="I155" s="87"/>
      <c r="P155" s="16"/>
      <c r="S155" s="16"/>
      <c r="V155" s="16"/>
      <c r="Y155" s="16"/>
      <c r="AB155" s="16"/>
      <c r="AE155" s="16"/>
    </row>
    <row r="156" spans="2:31" s="6" customFormat="1" x14ac:dyDescent="0.25">
      <c r="B156" s="22"/>
      <c r="E156" s="87"/>
      <c r="F156" s="87"/>
      <c r="G156" s="87"/>
      <c r="H156" s="87"/>
      <c r="I156" s="87"/>
      <c r="P156" s="16"/>
      <c r="S156" s="16"/>
      <c r="V156" s="16"/>
      <c r="Y156" s="16"/>
      <c r="AB156" s="16"/>
      <c r="AE156" s="16"/>
    </row>
    <row r="157" spans="2:31" s="6" customFormat="1" x14ac:dyDescent="0.25">
      <c r="B157" s="22"/>
      <c r="E157" s="87"/>
      <c r="F157" s="87"/>
      <c r="G157" s="87"/>
      <c r="H157" s="87"/>
      <c r="I157" s="87"/>
      <c r="P157" s="16"/>
      <c r="S157" s="16"/>
      <c r="V157" s="16"/>
      <c r="Y157" s="16"/>
      <c r="AB157" s="16"/>
      <c r="AE157" s="16"/>
    </row>
    <row r="158" spans="2:31" s="6" customFormat="1" x14ac:dyDescent="0.25">
      <c r="B158" s="22"/>
      <c r="E158" s="87"/>
      <c r="F158" s="87"/>
      <c r="G158" s="87"/>
      <c r="H158" s="87"/>
      <c r="I158" s="87"/>
      <c r="P158" s="16"/>
      <c r="S158" s="16"/>
      <c r="V158" s="16"/>
      <c r="Y158" s="16"/>
      <c r="AB158" s="16"/>
      <c r="AE158" s="16"/>
    </row>
    <row r="159" spans="2:31" s="6" customFormat="1" x14ac:dyDescent="0.25">
      <c r="B159" s="22"/>
      <c r="E159" s="87"/>
      <c r="F159" s="87"/>
      <c r="G159" s="87"/>
      <c r="H159" s="87"/>
      <c r="I159" s="87"/>
      <c r="P159" s="16"/>
      <c r="S159" s="16"/>
      <c r="V159" s="16"/>
      <c r="Y159" s="16"/>
      <c r="AB159" s="16"/>
      <c r="AE159" s="16"/>
    </row>
    <row r="160" spans="2:31" s="6" customFormat="1" x14ac:dyDescent="0.25">
      <c r="B160" s="22"/>
      <c r="E160" s="87"/>
      <c r="F160" s="87"/>
      <c r="G160" s="87"/>
      <c r="H160" s="87"/>
      <c r="I160" s="87"/>
      <c r="P160" s="16"/>
      <c r="S160" s="16"/>
      <c r="V160" s="16"/>
      <c r="Y160" s="16"/>
      <c r="AB160" s="16"/>
      <c r="AE160" s="16"/>
    </row>
    <row r="161" spans="2:31" s="6" customFormat="1" x14ac:dyDescent="0.25">
      <c r="B161" s="22"/>
      <c r="E161" s="87"/>
      <c r="F161" s="87"/>
      <c r="G161" s="87"/>
      <c r="H161" s="87"/>
      <c r="I161" s="87"/>
      <c r="P161" s="16"/>
      <c r="S161" s="16"/>
      <c r="V161" s="16"/>
      <c r="Y161" s="16"/>
      <c r="AB161" s="16"/>
      <c r="AE161" s="16"/>
    </row>
    <row r="162" spans="2:31" s="6" customFormat="1" x14ac:dyDescent="0.25">
      <c r="B162" s="22"/>
      <c r="E162" s="87"/>
      <c r="F162" s="87"/>
      <c r="G162" s="87"/>
      <c r="H162" s="87"/>
      <c r="I162" s="87"/>
      <c r="P162" s="16"/>
      <c r="S162" s="16"/>
      <c r="V162" s="16"/>
      <c r="Y162" s="16"/>
      <c r="AB162" s="16"/>
      <c r="AE162" s="16"/>
    </row>
    <row r="163" spans="2:31" s="6" customFormat="1" x14ac:dyDescent="0.25">
      <c r="B163" s="22"/>
      <c r="E163" s="87"/>
      <c r="F163" s="87"/>
      <c r="G163" s="87"/>
      <c r="H163" s="87"/>
      <c r="I163" s="87"/>
      <c r="P163" s="16"/>
      <c r="S163" s="16"/>
      <c r="V163" s="16"/>
      <c r="Y163" s="16"/>
      <c r="AB163" s="16"/>
      <c r="AE163" s="16"/>
    </row>
    <row r="164" spans="2:31" s="6" customFormat="1" x14ac:dyDescent="0.25">
      <c r="B164" s="22"/>
      <c r="E164" s="87"/>
      <c r="F164" s="87"/>
      <c r="G164" s="87"/>
      <c r="H164" s="87"/>
      <c r="I164" s="87"/>
      <c r="P164" s="16"/>
      <c r="S164" s="16"/>
      <c r="V164" s="16"/>
      <c r="Y164" s="16"/>
      <c r="AB164" s="16"/>
      <c r="AE164" s="16"/>
    </row>
    <row r="165" spans="2:31" s="6" customFormat="1" x14ac:dyDescent="0.25">
      <c r="B165" s="22"/>
      <c r="E165" s="87"/>
      <c r="F165" s="87"/>
      <c r="G165" s="87"/>
      <c r="H165" s="87"/>
      <c r="I165" s="87"/>
      <c r="P165" s="16"/>
      <c r="S165" s="16"/>
      <c r="V165" s="16"/>
      <c r="Y165" s="16"/>
      <c r="AB165" s="16"/>
      <c r="AE165" s="16"/>
    </row>
    <row r="166" spans="2:31" s="6" customFormat="1" x14ac:dyDescent="0.25">
      <c r="B166" s="22"/>
      <c r="E166" s="87"/>
      <c r="F166" s="87"/>
      <c r="G166" s="87"/>
      <c r="H166" s="87"/>
      <c r="I166" s="87"/>
      <c r="P166" s="16"/>
      <c r="S166" s="16"/>
      <c r="V166" s="16"/>
      <c r="Y166" s="16"/>
      <c r="AB166" s="16"/>
      <c r="AE166" s="16"/>
    </row>
    <row r="167" spans="2:31" s="6" customFormat="1" x14ac:dyDescent="0.25">
      <c r="B167" s="22"/>
      <c r="E167" s="87"/>
      <c r="F167" s="87"/>
      <c r="G167" s="87"/>
      <c r="H167" s="87"/>
      <c r="I167" s="87"/>
      <c r="P167" s="16"/>
      <c r="S167" s="16"/>
      <c r="V167" s="16"/>
      <c r="Y167" s="16"/>
      <c r="AB167" s="16"/>
      <c r="AE167" s="16"/>
    </row>
    <row r="168" spans="2:31" s="6" customFormat="1" x14ac:dyDescent="0.25">
      <c r="B168" s="22"/>
      <c r="E168" s="87"/>
      <c r="F168" s="87"/>
      <c r="G168" s="87"/>
      <c r="H168" s="87"/>
      <c r="I168" s="87"/>
      <c r="P168" s="16"/>
      <c r="S168" s="16"/>
      <c r="V168" s="16"/>
      <c r="Y168" s="16"/>
      <c r="AB168" s="16"/>
      <c r="AE168" s="16"/>
    </row>
    <row r="169" spans="2:31" s="6" customFormat="1" x14ac:dyDescent="0.25">
      <c r="B169" s="22"/>
      <c r="E169" s="87"/>
      <c r="F169" s="87"/>
      <c r="G169" s="87"/>
      <c r="H169" s="87"/>
      <c r="I169" s="87"/>
      <c r="P169" s="16"/>
      <c r="S169" s="16"/>
      <c r="V169" s="16"/>
      <c r="Y169" s="16"/>
      <c r="AB169" s="16"/>
      <c r="AE169" s="16"/>
    </row>
    <row r="170" spans="2:31" s="6" customFormat="1" x14ac:dyDescent="0.25">
      <c r="B170" s="22"/>
      <c r="E170" s="87"/>
      <c r="F170" s="87"/>
      <c r="G170" s="87"/>
      <c r="H170" s="87"/>
      <c r="I170" s="87"/>
      <c r="P170" s="16"/>
      <c r="S170" s="16"/>
      <c r="V170" s="16"/>
      <c r="Y170" s="16"/>
      <c r="AB170" s="16"/>
      <c r="AE170" s="16"/>
    </row>
    <row r="171" spans="2:31" s="6" customFormat="1" x14ac:dyDescent="0.25">
      <c r="B171" s="22"/>
      <c r="E171" s="87"/>
      <c r="F171" s="87"/>
      <c r="G171" s="87"/>
      <c r="H171" s="87"/>
      <c r="I171" s="87"/>
      <c r="P171" s="16"/>
      <c r="S171" s="16"/>
      <c r="V171" s="16"/>
      <c r="Y171" s="16"/>
      <c r="AB171" s="16"/>
      <c r="AE171" s="16"/>
    </row>
    <row r="172" spans="2:31" s="6" customFormat="1" x14ac:dyDescent="0.25">
      <c r="B172" s="22"/>
      <c r="E172" s="87"/>
      <c r="F172" s="87"/>
      <c r="G172" s="87"/>
      <c r="H172" s="87"/>
      <c r="I172" s="87"/>
      <c r="P172" s="16"/>
      <c r="S172" s="16"/>
      <c r="V172" s="16"/>
      <c r="Y172" s="16"/>
      <c r="AB172" s="16"/>
      <c r="AE172" s="16"/>
    </row>
    <row r="173" spans="2:31" s="6" customFormat="1" x14ac:dyDescent="0.25">
      <c r="B173" s="22"/>
      <c r="E173" s="87"/>
      <c r="F173" s="87"/>
      <c r="G173" s="87"/>
      <c r="H173" s="87"/>
      <c r="I173" s="87"/>
      <c r="P173" s="16"/>
      <c r="S173" s="16"/>
      <c r="V173" s="16"/>
      <c r="Y173" s="16"/>
      <c r="AB173" s="16"/>
      <c r="AE173" s="16"/>
    </row>
    <row r="174" spans="2:31" s="6" customFormat="1" x14ac:dyDescent="0.25">
      <c r="B174" s="22"/>
      <c r="E174" s="87"/>
      <c r="F174" s="87"/>
      <c r="G174" s="87"/>
      <c r="H174" s="87"/>
      <c r="I174" s="87"/>
      <c r="P174" s="16"/>
      <c r="S174" s="16"/>
      <c r="V174" s="16"/>
      <c r="Y174" s="16"/>
      <c r="AB174" s="16"/>
      <c r="AE174" s="16"/>
    </row>
    <row r="175" spans="2:31" s="6" customFormat="1" x14ac:dyDescent="0.25">
      <c r="B175" s="22"/>
      <c r="E175" s="87"/>
      <c r="F175" s="87"/>
      <c r="G175" s="87"/>
      <c r="H175" s="87"/>
      <c r="I175" s="87"/>
      <c r="P175" s="16"/>
      <c r="S175" s="16"/>
      <c r="V175" s="16"/>
      <c r="Y175" s="16"/>
      <c r="AB175" s="16"/>
      <c r="AE175" s="16"/>
    </row>
    <row r="176" spans="2:31" s="6" customFormat="1" x14ac:dyDescent="0.25">
      <c r="B176" s="22"/>
      <c r="E176" s="87"/>
      <c r="F176" s="87"/>
      <c r="G176" s="87"/>
      <c r="H176" s="87"/>
      <c r="I176" s="87"/>
      <c r="P176" s="16"/>
      <c r="S176" s="16"/>
      <c r="V176" s="16"/>
      <c r="Y176" s="16"/>
      <c r="AB176" s="16"/>
      <c r="AE176" s="16"/>
    </row>
    <row r="177" spans="2:31" s="6" customFormat="1" x14ac:dyDescent="0.25">
      <c r="B177" s="22"/>
      <c r="E177" s="87"/>
      <c r="F177" s="87"/>
      <c r="G177" s="87"/>
      <c r="H177" s="87"/>
      <c r="I177" s="87"/>
      <c r="P177" s="16"/>
      <c r="S177" s="16"/>
      <c r="V177" s="16"/>
      <c r="Y177" s="16"/>
      <c r="AB177" s="16"/>
      <c r="AE177" s="16"/>
    </row>
    <row r="178" spans="2:31" s="6" customFormat="1" x14ac:dyDescent="0.25">
      <c r="B178" s="22"/>
      <c r="E178" s="87"/>
      <c r="F178" s="87"/>
      <c r="G178" s="87"/>
      <c r="H178" s="87"/>
      <c r="I178" s="87"/>
      <c r="P178" s="16"/>
      <c r="S178" s="16"/>
      <c r="V178" s="16"/>
      <c r="Y178" s="16"/>
      <c r="AB178" s="16"/>
      <c r="AE178" s="16"/>
    </row>
    <row r="179" spans="2:31" s="6" customFormat="1" x14ac:dyDescent="0.25">
      <c r="B179" s="22"/>
      <c r="E179" s="87"/>
      <c r="F179" s="87"/>
      <c r="G179" s="87"/>
      <c r="H179" s="87"/>
      <c r="I179" s="87"/>
      <c r="P179" s="16"/>
      <c r="S179" s="16"/>
      <c r="V179" s="16"/>
      <c r="Y179" s="16"/>
      <c r="AB179" s="16"/>
      <c r="AE179" s="16"/>
    </row>
    <row r="180" spans="2:31" s="6" customFormat="1" x14ac:dyDescent="0.25">
      <c r="B180" s="22"/>
      <c r="E180" s="87"/>
      <c r="F180" s="87"/>
      <c r="G180" s="87"/>
      <c r="H180" s="87"/>
      <c r="I180" s="87"/>
      <c r="P180" s="16"/>
      <c r="S180" s="16"/>
      <c r="V180" s="16"/>
      <c r="Y180" s="16"/>
      <c r="AB180" s="16"/>
      <c r="AE180" s="16"/>
    </row>
    <row r="181" spans="2:31" s="6" customFormat="1" x14ac:dyDescent="0.25">
      <c r="B181" s="22"/>
      <c r="E181" s="87"/>
      <c r="F181" s="87"/>
      <c r="G181" s="87"/>
      <c r="H181" s="87"/>
      <c r="I181" s="87"/>
      <c r="P181" s="16"/>
      <c r="S181" s="16"/>
      <c r="V181" s="16"/>
      <c r="Y181" s="16"/>
      <c r="AB181" s="16"/>
      <c r="AE181" s="16"/>
    </row>
    <row r="182" spans="2:31" s="6" customFormat="1" x14ac:dyDescent="0.25">
      <c r="B182" s="22"/>
      <c r="E182" s="87"/>
      <c r="F182" s="87"/>
      <c r="G182" s="87"/>
      <c r="H182" s="87"/>
      <c r="I182" s="87"/>
      <c r="P182" s="16"/>
      <c r="S182" s="16"/>
      <c r="V182" s="16"/>
      <c r="Y182" s="16"/>
      <c r="AB182" s="16"/>
      <c r="AE182" s="16"/>
    </row>
    <row r="183" spans="2:31" s="6" customFormat="1" x14ac:dyDescent="0.25">
      <c r="B183" s="22"/>
      <c r="E183" s="87"/>
      <c r="F183" s="87"/>
      <c r="G183" s="87"/>
      <c r="H183" s="87"/>
      <c r="I183" s="87"/>
      <c r="P183" s="16"/>
      <c r="S183" s="16"/>
      <c r="V183" s="16"/>
      <c r="Y183" s="16"/>
      <c r="AB183" s="16"/>
      <c r="AE183" s="16"/>
    </row>
    <row r="184" spans="2:31" s="6" customFormat="1" x14ac:dyDescent="0.25">
      <c r="B184" s="22"/>
      <c r="E184" s="87"/>
      <c r="F184" s="87"/>
      <c r="G184" s="87"/>
      <c r="H184" s="87"/>
      <c r="I184" s="87"/>
      <c r="P184" s="16"/>
      <c r="S184" s="16"/>
      <c r="V184" s="16"/>
      <c r="Y184" s="16"/>
      <c r="AB184" s="16"/>
      <c r="AE184" s="16"/>
    </row>
    <row r="185" spans="2:31" s="6" customFormat="1" x14ac:dyDescent="0.25">
      <c r="B185" s="22"/>
      <c r="E185" s="87"/>
      <c r="F185" s="87"/>
      <c r="G185" s="87"/>
      <c r="H185" s="87"/>
      <c r="I185" s="87"/>
      <c r="P185" s="16"/>
      <c r="S185" s="16"/>
      <c r="V185" s="16"/>
      <c r="Y185" s="16"/>
      <c r="AB185" s="16"/>
      <c r="AE185" s="16"/>
    </row>
    <row r="186" spans="2:31" s="6" customFormat="1" x14ac:dyDescent="0.25">
      <c r="B186" s="22"/>
      <c r="E186" s="87"/>
      <c r="F186" s="87"/>
      <c r="G186" s="87"/>
      <c r="H186" s="87"/>
      <c r="I186" s="87"/>
      <c r="P186" s="16"/>
      <c r="S186" s="16"/>
      <c r="V186" s="16"/>
      <c r="Y186" s="16"/>
      <c r="AB186" s="16"/>
      <c r="AE186" s="16"/>
    </row>
    <row r="187" spans="2:31" s="6" customFormat="1" x14ac:dyDescent="0.25">
      <c r="B187" s="22"/>
      <c r="E187" s="87"/>
      <c r="F187" s="87"/>
      <c r="G187" s="87"/>
      <c r="H187" s="87"/>
      <c r="I187" s="87"/>
      <c r="P187" s="16"/>
      <c r="S187" s="16"/>
      <c r="V187" s="16"/>
      <c r="Y187" s="16"/>
      <c r="AB187" s="16"/>
      <c r="AE187" s="16"/>
    </row>
    <row r="188" spans="2:31" s="6" customFormat="1" x14ac:dyDescent="0.25">
      <c r="B188" s="22"/>
      <c r="E188" s="87"/>
      <c r="F188" s="87"/>
      <c r="G188" s="87"/>
      <c r="H188" s="87"/>
      <c r="I188" s="87"/>
      <c r="P188" s="16"/>
      <c r="S188" s="16"/>
      <c r="V188" s="16"/>
      <c r="Y188" s="16"/>
      <c r="AB188" s="16"/>
      <c r="AE188" s="16"/>
    </row>
    <row r="189" spans="2:31" s="6" customFormat="1" x14ac:dyDescent="0.25">
      <c r="B189" s="22"/>
      <c r="E189" s="87"/>
      <c r="F189" s="87"/>
      <c r="G189" s="87"/>
      <c r="H189" s="87"/>
      <c r="I189" s="87"/>
      <c r="P189" s="16"/>
      <c r="S189" s="16"/>
      <c r="V189" s="16"/>
      <c r="Y189" s="16"/>
      <c r="AB189" s="16"/>
      <c r="AE189" s="16"/>
    </row>
    <row r="190" spans="2:31" s="6" customFormat="1" x14ac:dyDescent="0.25">
      <c r="B190" s="22"/>
      <c r="E190" s="87"/>
      <c r="F190" s="87"/>
      <c r="G190" s="87"/>
      <c r="H190" s="87"/>
      <c r="I190" s="87"/>
      <c r="P190" s="16"/>
      <c r="S190" s="16"/>
      <c r="V190" s="16"/>
      <c r="Y190" s="16"/>
      <c r="AB190" s="16"/>
      <c r="AE190" s="16"/>
    </row>
    <row r="191" spans="2:31" s="6" customFormat="1" x14ac:dyDescent="0.25">
      <c r="B191" s="22"/>
      <c r="E191" s="87"/>
      <c r="F191" s="87"/>
      <c r="G191" s="87"/>
      <c r="H191" s="87"/>
      <c r="I191" s="87"/>
      <c r="P191" s="16"/>
      <c r="S191" s="16"/>
      <c r="V191" s="16"/>
      <c r="Y191" s="16"/>
      <c r="AB191" s="16"/>
      <c r="AE191" s="16"/>
    </row>
    <row r="192" spans="2:31" s="6" customFormat="1" x14ac:dyDescent="0.25">
      <c r="B192" s="22"/>
      <c r="E192" s="87"/>
      <c r="F192" s="87"/>
      <c r="G192" s="87"/>
      <c r="H192" s="87"/>
      <c r="I192" s="87"/>
      <c r="P192" s="16"/>
      <c r="S192" s="16"/>
      <c r="V192" s="16"/>
      <c r="Y192" s="16"/>
      <c r="AB192" s="16"/>
      <c r="AE192" s="16"/>
    </row>
    <row r="193" spans="2:31" s="6" customFormat="1" x14ac:dyDescent="0.25">
      <c r="B193" s="22"/>
      <c r="E193" s="87"/>
      <c r="F193" s="87"/>
      <c r="G193" s="87"/>
      <c r="H193" s="87"/>
      <c r="I193" s="87"/>
      <c r="P193" s="16"/>
      <c r="S193" s="16"/>
      <c r="V193" s="16"/>
      <c r="Y193" s="16"/>
      <c r="AB193" s="16"/>
      <c r="AE193" s="16"/>
    </row>
    <row r="194" spans="2:31" s="6" customFormat="1" x14ac:dyDescent="0.25">
      <c r="B194" s="22"/>
      <c r="E194" s="87"/>
      <c r="F194" s="87"/>
      <c r="G194" s="87"/>
      <c r="H194" s="87"/>
      <c r="I194" s="87"/>
      <c r="P194" s="16"/>
      <c r="S194" s="16"/>
      <c r="V194" s="16"/>
      <c r="Y194" s="16"/>
      <c r="AB194" s="16"/>
      <c r="AE194" s="16"/>
    </row>
    <row r="195" spans="2:31" s="6" customFormat="1" x14ac:dyDescent="0.25">
      <c r="B195" s="22"/>
      <c r="E195" s="87"/>
      <c r="F195" s="87"/>
      <c r="G195" s="87"/>
      <c r="H195" s="87"/>
      <c r="I195" s="87"/>
      <c r="P195" s="16"/>
      <c r="S195" s="16"/>
      <c r="V195" s="16"/>
      <c r="Y195" s="16"/>
      <c r="AB195" s="16"/>
      <c r="AE195" s="16"/>
    </row>
    <row r="196" spans="2:31" s="6" customFormat="1" x14ac:dyDescent="0.25">
      <c r="B196" s="22"/>
      <c r="E196" s="87"/>
      <c r="F196" s="87"/>
      <c r="G196" s="87"/>
      <c r="H196" s="87"/>
      <c r="I196" s="87"/>
      <c r="P196" s="16"/>
      <c r="S196" s="16"/>
      <c r="V196" s="16"/>
      <c r="Y196" s="16"/>
      <c r="AB196" s="16"/>
      <c r="AE196" s="16"/>
    </row>
    <row r="197" spans="2:31" s="6" customFormat="1" x14ac:dyDescent="0.25">
      <c r="B197" s="22"/>
      <c r="E197" s="87"/>
      <c r="F197" s="87"/>
      <c r="G197" s="87"/>
      <c r="H197" s="87"/>
      <c r="I197" s="87"/>
      <c r="P197" s="16"/>
      <c r="S197" s="16"/>
      <c r="V197" s="16"/>
      <c r="Y197" s="16"/>
      <c r="AB197" s="16"/>
      <c r="AE197" s="16"/>
    </row>
    <row r="198" spans="2:31" s="6" customFormat="1" x14ac:dyDescent="0.25">
      <c r="B198" s="22"/>
      <c r="E198" s="87"/>
      <c r="F198" s="87"/>
      <c r="G198" s="87"/>
      <c r="H198" s="87"/>
      <c r="I198" s="87"/>
      <c r="P198" s="16"/>
      <c r="S198" s="16"/>
      <c r="V198" s="16"/>
      <c r="Y198" s="16"/>
      <c r="AB198" s="16"/>
      <c r="AE198" s="16"/>
    </row>
    <row r="199" spans="2:31" s="6" customFormat="1" x14ac:dyDescent="0.25">
      <c r="B199" s="22"/>
      <c r="E199" s="87"/>
      <c r="F199" s="87"/>
      <c r="G199" s="87"/>
      <c r="H199" s="87"/>
      <c r="I199" s="87"/>
      <c r="P199" s="16"/>
      <c r="S199" s="16"/>
      <c r="V199" s="16"/>
      <c r="Y199" s="16"/>
      <c r="AB199" s="16"/>
      <c r="AE199" s="16"/>
    </row>
    <row r="200" spans="2:31" s="6" customFormat="1" x14ac:dyDescent="0.25">
      <c r="B200" s="22"/>
      <c r="E200" s="87"/>
      <c r="F200" s="87"/>
      <c r="G200" s="87"/>
      <c r="H200" s="87"/>
      <c r="I200" s="87"/>
      <c r="P200" s="16"/>
      <c r="S200" s="16"/>
      <c r="V200" s="16"/>
      <c r="Y200" s="16"/>
      <c r="AB200" s="16"/>
      <c r="AE200" s="16"/>
    </row>
  </sheetData>
  <mergeCells count="51">
    <mergeCell ref="B39:D39"/>
    <mergeCell ref="E39:G39"/>
    <mergeCell ref="C22:D22"/>
    <mergeCell ref="C23:D23"/>
    <mergeCell ref="C17:D17"/>
    <mergeCell ref="C18:D18"/>
    <mergeCell ref="C19:D19"/>
    <mergeCell ref="C20:D20"/>
    <mergeCell ref="C21:D21"/>
    <mergeCell ref="E30:G30"/>
    <mergeCell ref="E31:G31"/>
    <mergeCell ref="E32:G32"/>
    <mergeCell ref="E33:G33"/>
    <mergeCell ref="E34:G34"/>
    <mergeCell ref="E36:G36"/>
    <mergeCell ref="E37:G37"/>
    <mergeCell ref="C12:D12"/>
    <mergeCell ref="C13:D13"/>
    <mergeCell ref="C14:D14"/>
    <mergeCell ref="C15:D15"/>
    <mergeCell ref="C16:D16"/>
    <mergeCell ref="C7:D7"/>
    <mergeCell ref="C8:D8"/>
    <mergeCell ref="C9:D9"/>
    <mergeCell ref="C10:D10"/>
    <mergeCell ref="C11:D11"/>
    <mergeCell ref="Z6:AB6"/>
    <mergeCell ref="AC6:AE6"/>
    <mergeCell ref="AG4:AK6"/>
    <mergeCell ref="AM4:AQ6"/>
    <mergeCell ref="T6:V6"/>
    <mergeCell ref="W6:Y6"/>
    <mergeCell ref="E1:J1"/>
    <mergeCell ref="E2:J6"/>
    <mergeCell ref="K2:K3"/>
    <mergeCell ref="L2:L3"/>
    <mergeCell ref="N4:Q5"/>
    <mergeCell ref="K5:K6"/>
    <mergeCell ref="N6:P6"/>
    <mergeCell ref="Q6:R6"/>
    <mergeCell ref="N2:O3"/>
    <mergeCell ref="Q2:R3"/>
    <mergeCell ref="E38:G38"/>
    <mergeCell ref="E35:G35"/>
    <mergeCell ref="K24:L24"/>
    <mergeCell ref="K25:L25"/>
    <mergeCell ref="B28:D28"/>
    <mergeCell ref="E28:G28"/>
    <mergeCell ref="E29:G29"/>
    <mergeCell ref="F26:I26"/>
    <mergeCell ref="C26:D26"/>
  </mergeCells>
  <conditionalFormatting sqref="AG8:AH23">
    <cfRule type="expression" dxfId="84" priority="28">
      <formula>IF(E8&lt;&gt;"",IF(E8&lt;1,TRUE,FALSE),FALSE)</formula>
    </cfRule>
  </conditionalFormatting>
  <conditionalFormatting sqref="AI8:AJ23">
    <cfRule type="expression" dxfId="83" priority="27">
      <formula>IF(G8&lt;&gt;"",IF(G8&gt;6,TRUE,FALSE),FALSE)</formula>
    </cfRule>
  </conditionalFormatting>
  <conditionalFormatting sqref="AK8:AK23">
    <cfRule type="expression" dxfId="82" priority="26">
      <formula>IF($I8&lt;&gt;"",IF($I8&lt;3,TRUE,FALSE),FALSE)</formula>
    </cfRule>
  </conditionalFormatting>
  <conditionalFormatting sqref="C25:D25">
    <cfRule type="expression" dxfId="81" priority="23">
      <formula>IF($BQ$7-$BT$7&gt;14,TRUE,FALSE)</formula>
    </cfRule>
  </conditionalFormatting>
  <conditionalFormatting sqref="C24:D24">
    <cfRule type="expression" dxfId="80" priority="24">
      <formula>IF($BQ$7-$BT$7&gt;15,TRUE,FALSE)</formula>
    </cfRule>
  </conditionalFormatting>
  <conditionalFormatting sqref="C24:C25">
    <cfRule type="expression" dxfId="79" priority="25">
      <formula>$BW$7</formula>
    </cfRule>
  </conditionalFormatting>
  <conditionalFormatting sqref="N24:P26">
    <cfRule type="expression" dxfId="78" priority="29">
      <formula>AND(IF($N24="-",TRUE,FALSE),IF(#REF!&lt;3,FALSE,TRUE))</formula>
    </cfRule>
  </conditionalFormatting>
  <conditionalFormatting sqref="Q24:S26 S8:S23">
    <cfRule type="expression" dxfId="77" priority="30">
      <formula>AND(IF($Q8="-",TRUE,FALSE),IF($N8="-",FALSE,TRUE),IF(#REF!&lt;4,FALSE, TRUE))</formula>
    </cfRule>
  </conditionalFormatting>
  <conditionalFormatting sqref="T8:V26">
    <cfRule type="expression" dxfId="76" priority="31">
      <formula>AND(IF($T8="-",TRUE,FALSE),IF($Q8="-",FALSE,TRUE),IF(#REF!&lt;6,FALSE, TRUE))</formula>
    </cfRule>
  </conditionalFormatting>
  <conditionalFormatting sqref="W8:Y26">
    <cfRule type="expression" dxfId="75" priority="32">
      <formula>AND(IF($W8="-",TRUE,FALSE),IF($T8="-",FALSE,TRUE),IF(#REF!&lt;8,FALSE, TRUE))</formula>
    </cfRule>
  </conditionalFormatting>
  <conditionalFormatting sqref="Z8:AB26">
    <cfRule type="expression" dxfId="74" priority="33">
      <formula>AND(IF($Z8="-",TRUE,FALSE),IF($W8="-",FALSE,TRUE),IF(#REF!&lt;10,FALSE, TRUE))</formula>
    </cfRule>
  </conditionalFormatting>
  <conditionalFormatting sqref="AC8:AE26">
    <cfRule type="expression" dxfId="73" priority="34">
      <formula>AND(IF($AC8="-",TRUE,FALSE),IF($Z8="-",FALSE,TRUE),IF(#REF!&lt;12,FALSE, TRUE))</formula>
    </cfRule>
  </conditionalFormatting>
  <conditionalFormatting sqref="S8:S23">
    <cfRule type="expression" dxfId="72" priority="35">
      <formula>IF(AND($V8=0,#REF!&lt;0,$S8&gt;0),TRUE,FALSE)</formula>
    </cfRule>
  </conditionalFormatting>
  <conditionalFormatting sqref="V8:V23">
    <cfRule type="expression" dxfId="71" priority="36">
      <formula>IF(AND($Y8=0,#REF!&lt;0,$V8&gt;0),TRUE,FALSE)</formula>
    </cfRule>
  </conditionalFormatting>
  <conditionalFormatting sqref="Y8:Y23">
    <cfRule type="expression" dxfId="70" priority="37">
      <formula>IF(AND($AB8=0,#REF!&lt;0,$Y8&gt;0),TRUE,FALSE)</formula>
    </cfRule>
  </conditionalFormatting>
  <conditionalFormatting sqref="AB8:AB23">
    <cfRule type="expression" dxfId="69" priority="38">
      <formula>IF(AND($AE8=0,#REF!&lt;0,$AB8&gt;0),TRUE,FALSE)</formula>
    </cfRule>
  </conditionalFormatting>
  <conditionalFormatting sqref="AE8:AE23">
    <cfRule type="expression" dxfId="68" priority="39">
      <formula>IF(AND(#REF!&lt;0,$AE8&gt;0),TRUE,FALSE)</formula>
    </cfRule>
  </conditionalFormatting>
  <conditionalFormatting sqref="E26:I26">
    <cfRule type="expression" dxfId="67" priority="40">
      <formula>IF(AND($D$4&lt;&gt;"",#REF!="League Play",11&gt;COUNTIF(#REF!,"&gt;0")),TRUE,FALSE)</formula>
    </cfRule>
    <cfRule type="expression" dxfId="66" priority="41">
      <formula>IF($E$26&gt;0,TRUE,FALSE)</formula>
    </cfRule>
    <cfRule type="expression" dxfId="65" priority="42">
      <formula>IF($E$26&lt;1,TRUE,FALSE)</formula>
    </cfRule>
  </conditionalFormatting>
  <conditionalFormatting sqref="S6:S23">
    <cfRule type="expression" dxfId="64" priority="20">
      <formula>IF($L$2&gt;3,FALSE,TRUE)</formula>
    </cfRule>
  </conditionalFormatting>
  <conditionalFormatting sqref="B29">
    <cfRule type="expression" dxfId="63" priority="22">
      <formula>IF(AND($D$5&lt;&gt;"",$B$29=#REF!),TRUE,FALSE)</formula>
    </cfRule>
  </conditionalFormatting>
  <conditionalFormatting sqref="E39 B39">
    <cfRule type="expression" dxfId="62" priority="21">
      <formula>IF(AND($E$39&gt;0,$E$39=#REF!*1000),TRUE,FALSE)</formula>
    </cfRule>
  </conditionalFormatting>
  <conditionalFormatting sqref="B36:G36">
    <cfRule type="expression" dxfId="61" priority="19">
      <formula>IF($Z$39="No", TRUE, FALSE)</formula>
    </cfRule>
  </conditionalFormatting>
  <conditionalFormatting sqref="B37:G37">
    <cfRule type="expression" dxfId="60" priority="18">
      <formula>IF($C$37="",TRUE,FALSE)</formula>
    </cfRule>
  </conditionalFormatting>
  <conditionalFormatting sqref="C8:C23">
    <cfRule type="expression" dxfId="59" priority="12">
      <formula>$BS$7</formula>
    </cfRule>
    <cfRule type="expression" dxfId="58" priority="13">
      <formula>IF($BR$7&gt;$BR$4,TRUE,FALSE)</formula>
    </cfRule>
  </conditionalFormatting>
  <conditionalFormatting sqref="E8:E23">
    <cfRule type="expression" dxfId="57" priority="11">
      <formula>IF(E8&lt;&gt;"",IF(OR($E8&lt;1,E8&gt;9),TRUE,FALSE),FALSE)</formula>
    </cfRule>
  </conditionalFormatting>
  <conditionalFormatting sqref="F8:F23">
    <cfRule type="expression" dxfId="56" priority="10">
      <formula>IF($F8&lt;&gt;"",IF(OR($F8&lt;1,$F8&gt;8),TRUE,FALSE),FALSE)</formula>
    </cfRule>
  </conditionalFormatting>
  <conditionalFormatting sqref="G8:G23">
    <cfRule type="expression" dxfId="55" priority="9">
      <formula>IF($G8&lt;&gt;"",IF(OR($G8&lt;1,$G8&gt;6),TRUE,FALSE),FALSE)</formula>
    </cfRule>
  </conditionalFormatting>
  <conditionalFormatting sqref="H8:H23">
    <cfRule type="expression" dxfId="54" priority="8">
      <formula>IF($H8&lt;&gt;"",IF(OR($H8&lt;1,$H8&gt;6),TRUE,FALSE),FALSE)</formula>
    </cfRule>
  </conditionalFormatting>
  <conditionalFormatting sqref="I8:I23">
    <cfRule type="expression" dxfId="53" priority="7">
      <formula>IF($I8&lt;&gt;"",IF(OR($I8&lt;3,$I8&gt;11),TRUE,FALSE),FALSE)</formula>
    </cfRule>
  </conditionalFormatting>
  <conditionalFormatting sqref="E8:I23">
    <cfRule type="expression" dxfId="52" priority="5">
      <formula>IF(AG8&gt;0,TRUE,FALSE)</formula>
    </cfRule>
  </conditionalFormatting>
  <conditionalFormatting sqref="N8:P23">
    <cfRule type="expression" dxfId="51" priority="14">
      <formula>AND(IF($N8="-",TRUE,FALSE),IF(#REF!&lt;3,FALSE,TRUE))</formula>
    </cfRule>
  </conditionalFormatting>
  <conditionalFormatting sqref="Q8:R23">
    <cfRule type="expression" dxfId="50" priority="15">
      <formula>AND(IF($Q8="-",TRUE,FALSE),IF($N8="-",FALSE,TRUE),IF(#REF!&lt;4,FALSE, TRUE))</formula>
    </cfRule>
  </conditionalFormatting>
  <conditionalFormatting sqref="P8:P23">
    <cfRule type="expression" dxfId="49" priority="16">
      <formula>IF(AND($S8=0,#REF!&lt;0,$P8&gt;0),TRUE,FALSE)</formula>
    </cfRule>
  </conditionalFormatting>
  <conditionalFormatting sqref="C8:C23 E8:L23">
    <cfRule type="expression" dxfId="48" priority="17">
      <formula>IF(OR(#REF!="X",#REF!="x"),TRUE,FALSE)</formula>
    </cfRule>
  </conditionalFormatting>
  <conditionalFormatting sqref="Q7:R23 Q6">
    <cfRule type="expression" dxfId="47" priority="4">
      <formula>IF($L$2&gt;3,FALSE,TRUE)</formula>
    </cfRule>
  </conditionalFormatting>
  <conditionalFormatting sqref="N8:N23">
    <cfRule type="expression" dxfId="46" priority="3">
      <formula>IF(COUNTIF($N$8:$Q$23,"Secondary")&gt;$Y$39,TRUE,FALSE)</formula>
    </cfRule>
  </conditionalFormatting>
  <conditionalFormatting sqref="Q8:Q23">
    <cfRule type="expression" dxfId="45" priority="2">
      <formula>IF(COUNTIF($N$8:$Q$23,"Secondary")&gt;$Y$39,TRUE,FALSE)</formula>
    </cfRule>
  </conditionalFormatting>
  <conditionalFormatting sqref="L8:L23">
    <cfRule type="expression" dxfId="44" priority="6">
      <formula>IF(AND($L8=#REF!,$L8&lt;&gt;""),TRUE,FALSE)</formula>
    </cfRule>
  </conditionalFormatting>
  <conditionalFormatting sqref="N8:R23">
    <cfRule type="expression" dxfId="43" priority="1">
      <formula>IF(COUNTIF($N$8:$Q$23,"Characteristic Improvment")&gt;$Y$38,TRUE,FALSE)</formula>
    </cfRule>
  </conditionalFormatting>
  <conditionalFormatting sqref="Q2">
    <cfRule type="expression" dxfId="42" priority="43">
      <formula>IF(AND($E$39&gt;0,$E$39=#REF!*1000),TRUE,FALSE)</formula>
    </cfRule>
  </conditionalFormatting>
  <dataValidations count="18">
    <dataValidation type="list" allowBlank="1" showInputMessage="1" showErrorMessage="1" sqref="X8:X23" xr:uid="{00000000-0002-0000-0400-000000000000}">
      <formula1>INDIRECT(AW8)</formula1>
    </dataValidation>
    <dataValidation type="list" allowBlank="1" showInputMessage="1" showErrorMessage="1" sqref="O8:O23" xr:uid="{00000000-0002-0000-0400-000001000000}">
      <formula1>INDIRECT(AT8)</formula1>
    </dataValidation>
    <dataValidation type="list" allowBlank="1" showInputMessage="1" showErrorMessage="1" sqref="R8:R23" xr:uid="{00000000-0002-0000-0400-000002000000}">
      <formula1>INDIRECT(AU8)</formula1>
    </dataValidation>
    <dataValidation type="list" allowBlank="1" showInputMessage="1" showErrorMessage="1" sqref="U8:U23" xr:uid="{00000000-0002-0000-0400-000003000000}">
      <formula1>INDIRECT(AV8)</formula1>
    </dataValidation>
    <dataValidation type="list" allowBlank="1" showInputMessage="1" showErrorMessage="1" sqref="AA8:AA23" xr:uid="{00000000-0002-0000-0400-000004000000}">
      <formula1>INDIRECT(AX8)</formula1>
    </dataValidation>
    <dataValidation type="list" allowBlank="1" showInputMessage="1" showErrorMessage="1" sqref="AD8:AD23" xr:uid="{00000000-0002-0000-0400-000005000000}">
      <formula1>INDIRECT(AY8)</formula1>
    </dataValidation>
    <dataValidation type="list" allowBlank="1" showInputMessage="1" showErrorMessage="1" sqref="C24:C25" xr:uid="{00000000-0002-0000-0400-000006000000}">
      <formula1>$BV$7:$BV$25</formula1>
    </dataValidation>
    <dataValidation type="list" allowBlank="1" showInputMessage="1" showErrorMessage="1" sqref="AK8:AK23" xr:uid="{00000000-0002-0000-0400-000007000000}">
      <formula1>$BL$7:$BL$17</formula1>
    </dataValidation>
    <dataValidation type="list" allowBlank="1" showInputMessage="1" showErrorMessage="1" sqref="AI8:AJ23" xr:uid="{00000000-0002-0000-0400-000008000000}">
      <formula1>$BL$7:$BL$12</formula1>
    </dataValidation>
    <dataValidation type="list" allowBlank="1" showInputMessage="1" showErrorMessage="1" sqref="AH8:AH23" xr:uid="{00000000-0002-0000-0400-000009000000}">
      <formula1>$BL$7:$BL$14</formula1>
    </dataValidation>
    <dataValidation type="list" allowBlank="1" showInputMessage="1" showErrorMessage="1" sqref="C8:C23" xr:uid="{00000000-0002-0000-0400-00000A000000}">
      <formula1>$BN$7:$BN$23</formula1>
    </dataValidation>
    <dataValidation type="list" allowBlank="1" showInputMessage="1" showErrorMessage="1" sqref="B30 AG8:AG23" xr:uid="{00000000-0002-0000-0400-00000B000000}">
      <formula1>$BL$7:$BL$15</formula1>
    </dataValidation>
    <dataValidation type="list" allowBlank="1" showInputMessage="1" showErrorMessage="1" sqref="B31 B29" xr:uid="{00000000-0002-0000-0400-00000C000000}">
      <formula1>$BL$7:$BL$13</formula1>
    </dataValidation>
    <dataValidation type="list" allowBlank="1" showInputMessage="1" showErrorMessage="1" sqref="B37:B38 B35" xr:uid="{00000000-0002-0000-0400-00000D000000}">
      <formula1>$BL$7:$BL$8</formula1>
    </dataValidation>
    <dataValidation type="list" allowBlank="1" showInputMessage="1" showErrorMessage="1" sqref="B32" xr:uid="{00000000-0002-0000-0400-00000E000000}">
      <formula1>$BL$7:$BL$19</formula1>
    </dataValidation>
    <dataValidation type="list" allowBlank="1" showInputMessage="1" showErrorMessage="1" sqref="B36 B34" xr:uid="{00000000-0002-0000-0400-00000F000000}">
      <formula1>$BL$7:$BL$10</formula1>
    </dataValidation>
    <dataValidation type="list" allowBlank="1" showInputMessage="1" showErrorMessage="1" sqref="B33" xr:uid="{00000000-0002-0000-0400-000010000000}">
      <formula1>$BL$7:$BL$9</formula1>
    </dataValidation>
    <dataValidation type="list" allowBlank="1" showInputMessage="1" showErrorMessage="1" sqref="Q26 W26 AC8:AC23 Z26 Z8:Z23 W8:W23 T8:T23 AC26 N26 T26 Q8:Q23 N8:N23" xr:uid="{00000000-0002-0000-0400-000011000000}">
      <formula1>$N$44:$N$47</formula1>
    </dataValidation>
  </dataValidations>
  <pageMargins left="0.7" right="0.7" top="0.78740157499999996" bottom="0.78740157499999996" header="0.3" footer="0.3"/>
  <pageSetup orientation="portrait" verticalDpi="0" r:id="rId1"/>
  <legacy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400-000012000000}">
          <x14:formula1>
            <xm:f>Teams!$B$1:$B$31</xm:f>
          </x14:formula1>
          <xm:sqref>D4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A1:E27"/>
  <sheetViews>
    <sheetView workbookViewId="0"/>
  </sheetViews>
  <sheetFormatPr defaultRowHeight="15" x14ac:dyDescent="0.25"/>
  <cols>
    <col min="2" max="3" width="31.5703125" bestFit="1" customWidth="1"/>
    <col min="4" max="5" width="27.5703125" bestFit="1" customWidth="1"/>
  </cols>
  <sheetData>
    <row r="1" spans="1:5" x14ac:dyDescent="0.25">
      <c r="A1" s="183" t="s">
        <v>857</v>
      </c>
      <c r="B1" s="169" t="s">
        <v>880</v>
      </c>
      <c r="C1" s="169" t="s">
        <v>881</v>
      </c>
      <c r="D1" s="169" t="s">
        <v>882</v>
      </c>
      <c r="E1" s="300" t="s">
        <v>1071</v>
      </c>
    </row>
    <row r="2" spans="1:5" x14ac:dyDescent="0.25">
      <c r="A2" s="176" t="s">
        <v>861</v>
      </c>
      <c r="B2" s="180" t="s">
        <v>883</v>
      </c>
      <c r="C2" s="180" t="s">
        <v>884</v>
      </c>
      <c r="D2" s="180" t="s">
        <v>885</v>
      </c>
      <c r="E2" s="181" t="s">
        <v>1071</v>
      </c>
    </row>
    <row r="3" spans="1:5" x14ac:dyDescent="0.25">
      <c r="A3" s="176" t="s">
        <v>865</v>
      </c>
      <c r="B3" s="180" t="s">
        <v>886</v>
      </c>
      <c r="C3" s="180" t="s">
        <v>887</v>
      </c>
      <c r="D3" s="180" t="s">
        <v>888</v>
      </c>
      <c r="E3" s="181" t="s">
        <v>1071</v>
      </c>
    </row>
    <row r="4" spans="1:5" x14ac:dyDescent="0.25">
      <c r="A4" s="176" t="s">
        <v>869</v>
      </c>
      <c r="B4" s="180" t="s">
        <v>891</v>
      </c>
      <c r="C4" s="180" t="s">
        <v>889</v>
      </c>
      <c r="D4" s="180" t="s">
        <v>890</v>
      </c>
      <c r="E4" s="181" t="s">
        <v>1071</v>
      </c>
    </row>
    <row r="5" spans="1:5" x14ac:dyDescent="0.25">
      <c r="A5" s="176" t="s">
        <v>874</v>
      </c>
      <c r="B5" s="180" t="s">
        <v>892</v>
      </c>
      <c r="C5" s="180" t="s">
        <v>893</v>
      </c>
      <c r="D5" s="180" t="s">
        <v>890</v>
      </c>
      <c r="E5" s="181" t="s">
        <v>897</v>
      </c>
    </row>
    <row r="6" spans="1:5" x14ac:dyDescent="0.25">
      <c r="A6" s="199" t="str">
        <f>"Tier " &amp; ""</f>
        <v xml:space="preserve">Tier </v>
      </c>
      <c r="B6" s="182" t="s">
        <v>951</v>
      </c>
      <c r="C6" s="182" t="s">
        <v>895</v>
      </c>
      <c r="D6" s="182" t="s">
        <v>895</v>
      </c>
      <c r="E6" s="200" t="s">
        <v>895</v>
      </c>
    </row>
    <row r="10" spans="1:5" x14ac:dyDescent="0.25">
      <c r="B10" s="177"/>
      <c r="C10" s="201" t="s">
        <v>839</v>
      </c>
      <c r="D10" s="201" t="s">
        <v>924</v>
      </c>
      <c r="E10" s="202" t="s">
        <v>853</v>
      </c>
    </row>
    <row r="11" spans="1:5" x14ac:dyDescent="0.25">
      <c r="B11" s="178" t="s">
        <v>880</v>
      </c>
      <c r="C11" s="203">
        <v>6</v>
      </c>
      <c r="D11" s="203">
        <v>0</v>
      </c>
      <c r="E11" s="186">
        <v>0</v>
      </c>
    </row>
    <row r="12" spans="1:5" x14ac:dyDescent="0.25">
      <c r="B12" s="178" t="s">
        <v>883</v>
      </c>
      <c r="C12" s="203">
        <v>7</v>
      </c>
      <c r="D12" s="203">
        <v>1</v>
      </c>
      <c r="E12" s="186">
        <v>0</v>
      </c>
    </row>
    <row r="13" spans="1:5" x14ac:dyDescent="0.25">
      <c r="B13" s="178" t="s">
        <v>886</v>
      </c>
      <c r="C13" s="203">
        <v>7</v>
      </c>
      <c r="D13" s="203">
        <v>1</v>
      </c>
      <c r="E13" s="186">
        <v>0</v>
      </c>
    </row>
    <row r="14" spans="1:5" x14ac:dyDescent="0.25">
      <c r="B14" s="178" t="s">
        <v>891</v>
      </c>
      <c r="C14" s="203">
        <v>8</v>
      </c>
      <c r="D14" s="203">
        <v>1</v>
      </c>
      <c r="E14" s="186">
        <v>0</v>
      </c>
    </row>
    <row r="15" spans="1:5" x14ac:dyDescent="0.25">
      <c r="B15" s="178" t="s">
        <v>892</v>
      </c>
      <c r="C15" s="203">
        <v>4</v>
      </c>
      <c r="D15" s="203">
        <v>2</v>
      </c>
      <c r="E15" s="186">
        <v>0</v>
      </c>
    </row>
    <row r="16" spans="1:5" x14ac:dyDescent="0.25">
      <c r="B16" s="178" t="s">
        <v>881</v>
      </c>
      <c r="C16" s="203">
        <v>4</v>
      </c>
      <c r="D16" s="203">
        <v>1</v>
      </c>
      <c r="E16" s="186">
        <v>0</v>
      </c>
    </row>
    <row r="17" spans="2:5" x14ac:dyDescent="0.25">
      <c r="B17" s="178" t="s">
        <v>884</v>
      </c>
      <c r="C17" s="203">
        <v>5</v>
      </c>
      <c r="D17" s="203">
        <v>1</v>
      </c>
      <c r="E17" s="186">
        <v>0</v>
      </c>
    </row>
    <row r="18" spans="2:5" x14ac:dyDescent="0.25">
      <c r="B18" s="178" t="s">
        <v>887</v>
      </c>
      <c r="C18" s="203">
        <v>5</v>
      </c>
      <c r="D18" s="203">
        <v>2</v>
      </c>
      <c r="E18" s="186">
        <v>0</v>
      </c>
    </row>
    <row r="19" spans="2:5" x14ac:dyDescent="0.25">
      <c r="B19" s="178" t="s">
        <v>889</v>
      </c>
      <c r="C19" s="203">
        <v>6</v>
      </c>
      <c r="D19" s="203">
        <v>2</v>
      </c>
      <c r="E19" s="186">
        <v>0</v>
      </c>
    </row>
    <row r="20" spans="2:5" x14ac:dyDescent="0.25">
      <c r="B20" s="178" t="s">
        <v>893</v>
      </c>
      <c r="C20" s="203">
        <v>6</v>
      </c>
      <c r="D20" s="203">
        <v>3</v>
      </c>
      <c r="E20" s="186">
        <v>0</v>
      </c>
    </row>
    <row r="21" spans="2:5" x14ac:dyDescent="0.25">
      <c r="B21" s="178" t="s">
        <v>882</v>
      </c>
      <c r="C21" s="203">
        <v>3</v>
      </c>
      <c r="D21" s="203">
        <v>0</v>
      </c>
      <c r="E21" s="186">
        <v>1</v>
      </c>
    </row>
    <row r="22" spans="2:5" x14ac:dyDescent="0.25">
      <c r="B22" s="178" t="s">
        <v>885</v>
      </c>
      <c r="C22" s="203">
        <v>4</v>
      </c>
      <c r="D22" s="203">
        <v>0</v>
      </c>
      <c r="E22" s="186">
        <v>1</v>
      </c>
    </row>
    <row r="23" spans="2:5" x14ac:dyDescent="0.25">
      <c r="B23" s="178" t="s">
        <v>888</v>
      </c>
      <c r="C23" s="203">
        <v>5</v>
      </c>
      <c r="D23" s="203">
        <v>0</v>
      </c>
      <c r="E23" s="186">
        <v>1</v>
      </c>
    </row>
    <row r="24" spans="2:5" x14ac:dyDescent="0.25">
      <c r="B24" s="178" t="s">
        <v>890</v>
      </c>
      <c r="C24" s="203">
        <v>6</v>
      </c>
      <c r="D24" s="203">
        <v>0</v>
      </c>
      <c r="E24" s="186">
        <v>1</v>
      </c>
    </row>
    <row r="25" spans="2:5" x14ac:dyDescent="0.25">
      <c r="B25" s="178" t="s">
        <v>890</v>
      </c>
      <c r="C25" s="203">
        <v>6</v>
      </c>
      <c r="D25" s="203">
        <v>0</v>
      </c>
      <c r="E25" s="186">
        <v>1</v>
      </c>
    </row>
    <row r="26" spans="2:5" x14ac:dyDescent="0.25">
      <c r="B26" s="178" t="s">
        <v>897</v>
      </c>
      <c r="C26" s="203">
        <v>3</v>
      </c>
      <c r="D26" s="203">
        <v>0</v>
      </c>
      <c r="E26" s="186">
        <v>2</v>
      </c>
    </row>
    <row r="27" spans="2:5" x14ac:dyDescent="0.25">
      <c r="B27" s="301" t="s">
        <v>1071</v>
      </c>
      <c r="C27" s="205">
        <v>0</v>
      </c>
      <c r="D27" s="205">
        <v>0</v>
      </c>
      <c r="E27" s="206">
        <v>0</v>
      </c>
    </row>
  </sheetData>
  <phoneticPr fontId="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F49C-CFA3-4730-9687-D800D17690FA}">
  <sheetPr>
    <pageSetUpPr fitToPage="1"/>
  </sheetPr>
  <dimension ref="A1:AR76"/>
  <sheetViews>
    <sheetView showRowColHeaders="0" showZeros="0" zoomScale="80" zoomScaleNormal="80" workbookViewId="0"/>
  </sheetViews>
  <sheetFormatPr defaultColWidth="0" defaultRowHeight="15" customHeight="1" zeroHeight="1" x14ac:dyDescent="0.25"/>
  <cols>
    <col min="1" max="1" width="2.28515625" style="6" customWidth="1"/>
    <col min="2" max="2" width="3.85546875" style="123" bestFit="1" customWidth="1"/>
    <col min="3" max="3" width="20.7109375" customWidth="1"/>
    <col min="4" max="4" width="23.85546875" customWidth="1"/>
    <col min="5" max="9" width="4.7109375" style="3" customWidth="1"/>
    <col min="10" max="10" width="73" customWidth="1"/>
    <col min="11" max="11" width="12.85546875" customWidth="1"/>
    <col min="12" max="12" width="15.7109375" customWidth="1"/>
    <col min="13" max="13" width="22.85546875" customWidth="1"/>
    <col min="14" max="14" width="15.7109375" customWidth="1"/>
    <col min="15" max="15" width="22.85546875" customWidth="1"/>
    <col min="16" max="16" width="2.28515625" customWidth="1"/>
    <col min="17" max="17" width="11.42578125" style="1" hidden="1" customWidth="1"/>
    <col min="18" max="19" width="11.42578125" hidden="1" customWidth="1"/>
    <col min="20" max="20" width="11.42578125" style="1" hidden="1" customWidth="1"/>
    <col min="21" max="22" width="11.42578125" hidden="1" customWidth="1"/>
    <col min="23" max="23" width="11.42578125" style="1" hidden="1" customWidth="1"/>
    <col min="24" max="25" width="11.42578125" hidden="1" customWidth="1"/>
    <col min="26" max="26" width="11.42578125" style="1" hidden="1" customWidth="1"/>
    <col min="27" max="28" width="11.42578125" hidden="1" customWidth="1"/>
    <col min="29" max="29" width="11.42578125" style="1" hidden="1" customWidth="1"/>
    <col min="30" max="31" width="11.42578125" style="6" hidden="1" customWidth="1"/>
    <col min="32" max="32" width="14" style="6" hidden="1" customWidth="1"/>
    <col min="33" max="35" width="11.42578125" style="6" hidden="1" customWidth="1"/>
    <col min="36" max="38" width="14.5703125" style="6" hidden="1" customWidth="1"/>
    <col min="39" max="44" width="14.5703125" hidden="1" customWidth="1"/>
    <col min="45" max="16384" width="11.42578125" hidden="1"/>
  </cols>
  <sheetData>
    <row r="1" spans="1:44" s="6" customFormat="1" ht="12.6" customHeight="1" thickBot="1" x14ac:dyDescent="0.3">
      <c r="A1"/>
      <c r="B1" s="22"/>
      <c r="E1" s="325"/>
      <c r="F1" s="325"/>
      <c r="G1" s="325"/>
      <c r="H1" s="325"/>
      <c r="I1" s="325"/>
      <c r="J1" s="325"/>
      <c r="Q1" s="16"/>
      <c r="T1" s="16"/>
      <c r="W1" s="16"/>
      <c r="Z1" s="16"/>
      <c r="AC1" s="16"/>
    </row>
    <row r="2" spans="1:44" s="6" customFormat="1" ht="15" customHeight="1" thickBot="1" x14ac:dyDescent="0.3">
      <c r="B2" s="316" t="s">
        <v>526</v>
      </c>
      <c r="C2" s="317"/>
      <c r="D2" s="272" t="s">
        <v>841</v>
      </c>
      <c r="F2" s="330" t="str">
        <f>"Tier " &amp; IFERROR(VLOOKUP($D$2,Teams!$B$2:'Teams'!$I$31,8,FALSE),"")</f>
        <v xml:space="preserve">Tier </v>
      </c>
      <c r="G2" s="331"/>
      <c r="H2" s="332" t="s">
        <v>894</v>
      </c>
      <c r="I2" s="332"/>
      <c r="J2" s="268" t="s">
        <v>951</v>
      </c>
      <c r="L2" s="322" t="str">
        <f>IF($AO$8,"Too many players of a player type!","")</f>
        <v/>
      </c>
      <c r="M2" s="322"/>
      <c r="N2" s="322"/>
      <c r="O2" s="322"/>
    </row>
    <row r="3" spans="1:44" s="6" customFormat="1" ht="15" customHeight="1" x14ac:dyDescent="0.25">
      <c r="B3" s="318" t="s">
        <v>0</v>
      </c>
      <c r="C3" s="319"/>
      <c r="D3" s="273"/>
      <c r="F3" s="333" t="s">
        <v>896</v>
      </c>
      <c r="G3" s="334"/>
      <c r="H3" s="334"/>
      <c r="I3" s="334"/>
      <c r="J3" s="269" t="str">
        <f>COUNTIF(L8:L23,"Primary Skill") + U33 &amp; " Primary Skills"</f>
        <v>0 Primary Skills</v>
      </c>
      <c r="K3"/>
      <c r="L3" s="322" t="str">
        <f>IFERROR(IF(AM8&gt;AH10,"Too many Big Guys rostered!",""),"")</f>
        <v/>
      </c>
      <c r="M3" s="322"/>
      <c r="N3" s="322"/>
      <c r="O3" s="322"/>
    </row>
    <row r="4" spans="1:44" s="6" customFormat="1" ht="15" customHeight="1" x14ac:dyDescent="0.25">
      <c r="B4" s="318" t="s">
        <v>2</v>
      </c>
      <c r="C4" s="319"/>
      <c r="D4" s="273"/>
      <c r="F4" s="335"/>
      <c r="G4" s="336"/>
      <c r="H4" s="336"/>
      <c r="I4" s="336"/>
      <c r="J4" s="270" t="str">
        <f>COUNTIF(L8:L23,"Secondary Skill") &amp; " Secondary Skills"</f>
        <v>0 Secondary Skills</v>
      </c>
      <c r="L4" s="322" t="str">
        <f>IFERROR(IF($AR$8,"A Star Player can only be selected once! ",""),"") &amp; IF(COUNTBLANK(E8:E25)&lt;2,"Maximum 16 players!","")</f>
        <v/>
      </c>
      <c r="M4" s="322"/>
      <c r="N4" s="322"/>
      <c r="O4" s="322"/>
    </row>
    <row r="5" spans="1:44" s="6" customFormat="1" ht="15" customHeight="1" thickBot="1" x14ac:dyDescent="0.3">
      <c r="B5" s="320" t="s">
        <v>964</v>
      </c>
      <c r="C5" s="321"/>
      <c r="D5" s="274"/>
      <c r="F5" s="337"/>
      <c r="G5" s="338"/>
      <c r="H5" s="338"/>
      <c r="I5" s="338"/>
      <c r="J5" s="271" t="str">
        <f>COUNTIF(N8:N23,"Primary Skill") &amp;" Stacked Skills"</f>
        <v>0 Stacked Skills</v>
      </c>
      <c r="K5" s="323"/>
      <c r="L5" s="322" t="str">
        <f>IFERROR(IF($Y$29,"Incorrect number of skills! ",""),"") &amp; IF(AND(B33&gt;=1,COUNTIF(L8:O23,"Sneaky Git")&gt;=1),"No Bribe and Sneaky Git!","")</f>
        <v/>
      </c>
      <c r="M5" s="322"/>
      <c r="N5" s="322"/>
      <c r="O5" s="322"/>
    </row>
    <row r="6" spans="1:44" s="6" customFormat="1" ht="15" customHeight="1" thickBot="1" x14ac:dyDescent="0.3">
      <c r="B6" s="22"/>
      <c r="K6" s="324"/>
      <c r="L6" s="322" t="str">
        <f>IF(OR(AND(OR(AND(C24&lt;&gt;"",C24&lt;&gt;"Select Star Player"),AND(C25&lt;&gt;"",C25&lt;&gt;"Select Star Player")),ISNUMBER(FIND("Star Player",J2))=FALSE),AND(AND(AND(C24&lt;&gt;"",C24&lt;&gt;"Select Star Player"),AND(C25&lt;&gt;"",C25&lt;&gt;"Select Star Player")),ISNUMBER(FIND("Star Players",J2))=FALSE)),"Select a Skill Pack that allows this number of Star Players!","")</f>
        <v/>
      </c>
      <c r="M6" s="322"/>
      <c r="N6" s="322"/>
      <c r="O6" s="322"/>
      <c r="R6" s="212" t="s">
        <v>898</v>
      </c>
      <c r="S6" s="213"/>
      <c r="T6" s="213"/>
      <c r="U6" s="213"/>
      <c r="V6" s="213"/>
      <c r="W6" s="213"/>
      <c r="X6" s="213"/>
      <c r="Y6" s="216"/>
      <c r="Z6" s="212" t="s">
        <v>899</v>
      </c>
      <c r="AA6" s="213"/>
      <c r="AB6" s="213"/>
      <c r="AC6" s="213"/>
      <c r="AD6" s="212" t="s">
        <v>905</v>
      </c>
      <c r="AE6" s="217"/>
      <c r="AF6" s="218"/>
      <c r="AG6" s="212" t="s">
        <v>908</v>
      </c>
      <c r="AH6" s="216"/>
      <c r="AI6" s="212" t="s">
        <v>913</v>
      </c>
      <c r="AJ6" s="213"/>
      <c r="AK6" s="213"/>
      <c r="AL6" s="213"/>
      <c r="AM6" s="213"/>
      <c r="AN6" s="213"/>
      <c r="AO6" s="213"/>
      <c r="AP6" s="213"/>
      <c r="AQ6" s="213"/>
      <c r="AR6" s="216"/>
    </row>
    <row r="7" spans="1:44" s="5" customFormat="1" ht="23.25" customHeight="1" thickBot="1" x14ac:dyDescent="0.3">
      <c r="A7" s="7"/>
      <c r="B7" s="234" t="s">
        <v>3</v>
      </c>
      <c r="C7" s="356" t="s">
        <v>823</v>
      </c>
      <c r="D7" s="357"/>
      <c r="E7" s="235" t="s">
        <v>5</v>
      </c>
      <c r="F7" s="235" t="s">
        <v>6</v>
      </c>
      <c r="G7" s="235" t="s">
        <v>7</v>
      </c>
      <c r="H7" s="235" t="s">
        <v>8</v>
      </c>
      <c r="I7" s="235" t="s">
        <v>9</v>
      </c>
      <c r="J7" s="166" t="s">
        <v>320</v>
      </c>
      <c r="K7" s="165" t="s">
        <v>879</v>
      </c>
      <c r="L7" s="234" t="s">
        <v>917</v>
      </c>
      <c r="M7" s="235" t="s">
        <v>27</v>
      </c>
      <c r="N7" s="234" t="s">
        <v>918</v>
      </c>
      <c r="O7" s="166" t="s">
        <v>27</v>
      </c>
      <c r="P7" s="6"/>
      <c r="Q7" s="7"/>
      <c r="R7" s="189" t="s">
        <v>306</v>
      </c>
      <c r="S7" s="190" t="s">
        <v>307</v>
      </c>
      <c r="T7" s="191" t="s">
        <v>523</v>
      </c>
      <c r="U7" s="192"/>
      <c r="V7" s="192"/>
      <c r="W7" s="192"/>
      <c r="X7" s="192"/>
      <c r="Y7" s="193"/>
      <c r="Z7" s="194" t="s">
        <v>920</v>
      </c>
      <c r="AA7" s="191" t="s">
        <v>919</v>
      </c>
      <c r="AB7" s="191" t="s">
        <v>933</v>
      </c>
      <c r="AC7" s="192"/>
      <c r="AD7" s="189" t="s">
        <v>906</v>
      </c>
      <c r="AE7" s="190" t="s">
        <v>907</v>
      </c>
      <c r="AF7" s="190"/>
      <c r="AG7" s="194" t="s">
        <v>900</v>
      </c>
      <c r="AH7" s="187" t="e">
        <f>VLOOKUP($D$2,Teams!$B$2:$C$31,2,FALSE)</f>
        <v>#N/A</v>
      </c>
      <c r="AI7" s="236" t="s">
        <v>3</v>
      </c>
      <c r="AJ7" s="195" t="s">
        <v>910</v>
      </c>
      <c r="AK7" s="195" t="s">
        <v>911</v>
      </c>
      <c r="AL7" s="195" t="s">
        <v>909</v>
      </c>
      <c r="AM7" s="195" t="s">
        <v>929</v>
      </c>
      <c r="AN7" s="195" t="s">
        <v>912</v>
      </c>
      <c r="AO7" s="196" t="s">
        <v>927</v>
      </c>
      <c r="AP7" s="219" t="s">
        <v>3</v>
      </c>
      <c r="AQ7" s="298" t="s">
        <v>840</v>
      </c>
      <c r="AR7" s="299" t="s">
        <v>928</v>
      </c>
    </row>
    <row r="8" spans="1:44" s="2" customFormat="1" ht="24" customHeight="1" x14ac:dyDescent="0.25">
      <c r="A8" s="8"/>
      <c r="B8" s="31">
        <v>1</v>
      </c>
      <c r="C8" s="351"/>
      <c r="D8" s="352"/>
      <c r="E8" s="32" t="str">
        <f t="shared" ref="E8:E23" si="0">IFERROR(VLOOKUP($C8,PlayerList,5,FALSE),"")</f>
        <v/>
      </c>
      <c r="F8" s="32" t="str">
        <f t="shared" ref="F8:F23" si="1">IFERROR(VLOOKUP($C8,PlayerList,6,FALSE),"")</f>
        <v/>
      </c>
      <c r="G8" s="68" t="str">
        <f t="shared" ref="G8:G23" si="2">IFERROR(VLOOKUP($C8,PlayerList,7,FALSE),"")</f>
        <v/>
      </c>
      <c r="H8" s="68" t="str">
        <f t="shared" ref="H8:H23" si="3">IFERROR(VLOOKUP($C8,PlayerList,8,FALSE),"")</f>
        <v/>
      </c>
      <c r="I8" s="68" t="str">
        <f t="shared" ref="I8:I23" si="4">IFERROR(VLOOKUP($C8,PlayerList,9,FALSE),"")</f>
        <v/>
      </c>
      <c r="J8" s="275" t="str">
        <f t="shared" ref="J8:J23" si="5">IF(M8&lt;&gt;"",CONCATENATE(IF(T8="None","",T8&amp;", "),M8,IF(O8="","",", "),O8),T8)</f>
        <v/>
      </c>
      <c r="K8" s="256" t="str">
        <f t="shared" ref="K8:K23" si="6">IFERROR(1000*IF(VLOOKUP($C8,PlayerList,4,FALSE)&lt;0,-VLOOKUP($C8,PlayerList,4,FALSE),VLOOKUP($C8,PlayerList,4,FALSE)),"")</f>
        <v/>
      </c>
      <c r="L8" s="260"/>
      <c r="M8" s="261"/>
      <c r="N8" s="260"/>
      <c r="O8" s="262"/>
      <c r="P8" s="6"/>
      <c r="Q8" s="8"/>
      <c r="R8" s="170" t="str">
        <f>IFERROR(VLOOKUP($C8,PlayerList,11,FALSE),"")</f>
        <v/>
      </c>
      <c r="S8" s="168" t="str">
        <f t="shared" ref="S8:S23" si="7">IFERROR(VLOOKUP($C8,PlayerList,12,FALSE),"")</f>
        <v/>
      </c>
      <c r="T8" s="168" t="str">
        <f t="shared" ref="T8:T23" si="8">IFERROR(VLOOKUP($C8,PlayerList,10,FALSE),"")</f>
        <v/>
      </c>
      <c r="U8" s="168"/>
      <c r="V8" s="168"/>
      <c r="W8" s="168"/>
      <c r="X8" s="168"/>
      <c r="Y8" s="171"/>
      <c r="Z8" s="170" t="e">
        <f t="shared" ref="Z8:AA23" si="9">HLOOKUP(R8,$S$36:$AN$37,2,FALSE)</f>
        <v>#N/A</v>
      </c>
      <c r="AA8" s="168" t="e">
        <f t="shared" si="9"/>
        <v>#N/A</v>
      </c>
      <c r="AB8" s="168" t="str">
        <f t="shared" ref="AB8:AB23" si="10">$R$37</f>
        <v>$R$38:$R$52</v>
      </c>
      <c r="AC8" s="168"/>
      <c r="AD8" s="170" t="e">
        <f>HLOOKUP(L8,$Z$7:$AB$23,ROW()-6,FALSE)</f>
        <v>#N/A</v>
      </c>
      <c r="AE8" s="168" t="e">
        <f>HLOOKUP(N8,$Z$7:$AB$23,ROW()-6,FALSE)</f>
        <v>#N/A</v>
      </c>
      <c r="AF8" s="168"/>
      <c r="AG8" s="194" t="s">
        <v>902</v>
      </c>
      <c r="AH8" s="187" t="e">
        <f>VLOOKUP($D$2,Teams!$B$2:$H$31,7,FALSE)</f>
        <v>#N/A</v>
      </c>
      <c r="AI8" s="221">
        <v>0</v>
      </c>
      <c r="AJ8" s="179"/>
      <c r="AK8" s="179"/>
      <c r="AL8" s="179"/>
      <c r="AM8" s="179">
        <f>COUNTIFS(AM9:AM25,"BG",AN9:AN25,1)</f>
        <v>0</v>
      </c>
      <c r="AN8" s="179">
        <f>SUM(AN9:AN24)</f>
        <v>0</v>
      </c>
      <c r="AO8" s="184" t="b">
        <f>OR(AO9:AO19)</f>
        <v>0</v>
      </c>
      <c r="AP8" s="220">
        <v>0</v>
      </c>
      <c r="AQ8" s="168" t="str">
        <f>IFERROR(IF(HLOOKUP($AH$8,STARS,$AP8+2,FALSE)="","",HLOOKUP($AH$8,STARS,$AP8+2,FALSE)),"Select Star Player")</f>
        <v>Select Star Player</v>
      </c>
      <c r="AR8" s="185" t="b">
        <f>OR(AR9:AR25)</f>
        <v>0</v>
      </c>
    </row>
    <row r="9" spans="1:44" s="2" customFormat="1" ht="24" customHeight="1" x14ac:dyDescent="0.25">
      <c r="A9" s="8"/>
      <c r="B9" s="9">
        <v>2</v>
      </c>
      <c r="C9" s="347"/>
      <c r="D9" s="348"/>
      <c r="E9" s="32" t="str">
        <f t="shared" si="0"/>
        <v/>
      </c>
      <c r="F9" s="32" t="str">
        <f t="shared" si="1"/>
        <v/>
      </c>
      <c r="G9" s="68" t="str">
        <f t="shared" si="2"/>
        <v/>
      </c>
      <c r="H9" s="68" t="str">
        <f t="shared" si="3"/>
        <v/>
      </c>
      <c r="I9" s="68" t="str">
        <f t="shared" si="4"/>
        <v/>
      </c>
      <c r="J9" s="275" t="str">
        <f t="shared" si="5"/>
        <v/>
      </c>
      <c r="K9" s="256" t="str">
        <f t="shared" si="6"/>
        <v/>
      </c>
      <c r="L9" s="260"/>
      <c r="M9" s="263"/>
      <c r="N9" s="260"/>
      <c r="O9" s="264"/>
      <c r="P9" s="6"/>
      <c r="Q9" s="8"/>
      <c r="R9" s="170" t="str">
        <f>IFERROR(VLOOKUP($C9,PlayerList,11,FALSE),"")</f>
        <v/>
      </c>
      <c r="S9" s="168" t="str">
        <f t="shared" si="7"/>
        <v/>
      </c>
      <c r="T9" s="168" t="str">
        <f t="shared" si="8"/>
        <v/>
      </c>
      <c r="U9" s="168"/>
      <c r="V9" s="168"/>
      <c r="W9" s="168"/>
      <c r="X9" s="168"/>
      <c r="Y9" s="171"/>
      <c r="Z9" s="170" t="e">
        <f t="shared" si="9"/>
        <v>#N/A</v>
      </c>
      <c r="AA9" s="168" t="e">
        <f t="shared" si="9"/>
        <v>#N/A</v>
      </c>
      <c r="AB9" s="168" t="str">
        <f t="shared" si="10"/>
        <v>$R$38:$R$52</v>
      </c>
      <c r="AC9" s="168"/>
      <c r="AD9" s="170" t="e">
        <f t="shared" ref="AD9:AD23" si="11">HLOOKUP(L9,$Z$7:$AB$23,ROW()-6,FALSE)</f>
        <v>#N/A</v>
      </c>
      <c r="AE9" s="168" t="e">
        <f t="shared" ref="AE9:AE23" si="12">HLOOKUP(N9,$Z$7:$AB$23,ROW()-6,FALSE)</f>
        <v>#N/A</v>
      </c>
      <c r="AF9" s="168"/>
      <c r="AG9" s="194" t="s">
        <v>903</v>
      </c>
      <c r="AH9" s="187" t="e">
        <f>VLOOKUP($D$2,Teams!$B$2:$D$31,3,FALSE)</f>
        <v>#N/A</v>
      </c>
      <c r="AI9" s="221">
        <v>1</v>
      </c>
      <c r="AJ9" s="197" t="e">
        <f t="shared" ref="AJ9:AJ24" si="13">IF(AI9&lt;=$AH$9,CONCATENATE($AH$7,IF(AI9&lt;10,"0",""),AI9),"")</f>
        <v>#N/A</v>
      </c>
      <c r="AK9" s="197" t="str">
        <f t="shared" ref="AK9:AK24" si="14">IFERROR(VLOOKUP(AJ9,PLAYERS,2,FALSE),"")</f>
        <v/>
      </c>
      <c r="AL9" s="197" t="str">
        <f t="shared" ref="AL9:AL24" si="15">IFERROR(VLOOKUP(AJ9,PLAYERS,3,FALSE),"")</f>
        <v/>
      </c>
      <c r="AM9" s="197" t="str">
        <f t="shared" ref="AM9:AM24" si="16">IF(AK9&lt;&gt;"",VLOOKUP(AJ9,PLAYERS,4,FALSE),"")</f>
        <v/>
      </c>
      <c r="AN9" s="197" t="str">
        <f t="shared" ref="AN9:AN24" si="17">IF(AK9&lt;&gt;"",COUNTIF($C$8:$C$23,AK9),"")</f>
        <v/>
      </c>
      <c r="AO9" s="197" t="b">
        <f t="shared" ref="AO9:AO19" si="18">IF(AN9&gt;AL9,TRUE,FALSE)</f>
        <v>0</v>
      </c>
      <c r="AP9" s="221">
        <v>1</v>
      </c>
      <c r="AQ9" s="168" t="str">
        <f t="shared" ref="AQ9:AQ38" si="19">IFERROR(IF(HLOOKUP($AH$8,STARS,$AP9+2,FALSE)="","",HLOOKUP($AH$8,STARS,$AP9+2,FALSE)),"")</f>
        <v/>
      </c>
      <c r="AR9" s="171" t="b">
        <f>IF(IF(AND(AQ8&lt;&gt;"",AQ8&lt;&gt;"Select Star Player"),COUNTIF($C$24:$C$25,AQ8),0)&gt;1,TRUE,FALSE)</f>
        <v>0</v>
      </c>
    </row>
    <row r="10" spans="1:44" s="2" customFormat="1" ht="24" customHeight="1" x14ac:dyDescent="0.25">
      <c r="A10" s="8"/>
      <c r="B10" s="9">
        <v>3</v>
      </c>
      <c r="C10" s="347"/>
      <c r="D10" s="348"/>
      <c r="E10" s="32" t="str">
        <f t="shared" si="0"/>
        <v/>
      </c>
      <c r="F10" s="32" t="str">
        <f t="shared" si="1"/>
        <v/>
      </c>
      <c r="G10" s="68" t="str">
        <f t="shared" si="2"/>
        <v/>
      </c>
      <c r="H10" s="68" t="str">
        <f t="shared" si="3"/>
        <v/>
      </c>
      <c r="I10" s="68" t="str">
        <f t="shared" si="4"/>
        <v/>
      </c>
      <c r="J10" s="275" t="str">
        <f t="shared" si="5"/>
        <v/>
      </c>
      <c r="K10" s="256" t="str">
        <f t="shared" si="6"/>
        <v/>
      </c>
      <c r="L10" s="260"/>
      <c r="M10" s="263"/>
      <c r="N10" s="260"/>
      <c r="O10" s="264"/>
      <c r="P10" s="6"/>
      <c r="Q10" s="8"/>
      <c r="R10" s="170" t="str">
        <f>IFERROR(VLOOKUP($C10,PlayerList,11,FALSE),"")</f>
        <v/>
      </c>
      <c r="S10" s="168" t="str">
        <f t="shared" si="7"/>
        <v/>
      </c>
      <c r="T10" s="168" t="str">
        <f t="shared" si="8"/>
        <v/>
      </c>
      <c r="U10" s="168"/>
      <c r="V10" s="168"/>
      <c r="W10" s="168"/>
      <c r="X10" s="168"/>
      <c r="Y10" s="171"/>
      <c r="Z10" s="170" t="e">
        <f t="shared" si="9"/>
        <v>#N/A</v>
      </c>
      <c r="AA10" s="168" t="e">
        <f t="shared" si="9"/>
        <v>#N/A</v>
      </c>
      <c r="AB10" s="168" t="str">
        <f t="shared" si="10"/>
        <v>$R$38:$R$52</v>
      </c>
      <c r="AC10" s="168"/>
      <c r="AD10" s="170" t="e">
        <f t="shared" si="11"/>
        <v>#N/A</v>
      </c>
      <c r="AE10" s="168" t="e">
        <f t="shared" si="12"/>
        <v>#N/A</v>
      </c>
      <c r="AF10" s="168"/>
      <c r="AG10" s="194" t="s">
        <v>904</v>
      </c>
      <c r="AH10" s="187" t="e">
        <f>VLOOKUP($D$2,Teams!$B$2:$E$31,4,FALSE)</f>
        <v>#N/A</v>
      </c>
      <c r="AI10" s="221">
        <v>2</v>
      </c>
      <c r="AJ10" s="197" t="e">
        <f t="shared" si="13"/>
        <v>#N/A</v>
      </c>
      <c r="AK10" s="197" t="str">
        <f t="shared" si="14"/>
        <v/>
      </c>
      <c r="AL10" s="197" t="str">
        <f t="shared" si="15"/>
        <v/>
      </c>
      <c r="AM10" s="197" t="str">
        <f t="shared" si="16"/>
        <v/>
      </c>
      <c r="AN10" s="197" t="str">
        <f t="shared" si="17"/>
        <v/>
      </c>
      <c r="AO10" s="197" t="b">
        <f t="shared" si="18"/>
        <v>0</v>
      </c>
      <c r="AP10" s="221">
        <v>2</v>
      </c>
      <c r="AQ10" s="168" t="str">
        <f t="shared" si="19"/>
        <v/>
      </c>
      <c r="AR10" s="171" t="b">
        <f t="shared" ref="AR10:AR38" si="20">IF(IF(AND(AQ9&lt;&gt;"",AQ9&lt;&gt;"Select Team to see available Star Players"),COUNTIF($C$24:$C$25,AQ9),0)&gt;1,TRUE,FALSE)</f>
        <v>0</v>
      </c>
    </row>
    <row r="11" spans="1:44" s="2" customFormat="1" ht="24" customHeight="1" x14ac:dyDescent="0.25">
      <c r="A11" s="8"/>
      <c r="B11" s="9">
        <v>4</v>
      </c>
      <c r="C11" s="347"/>
      <c r="D11" s="348"/>
      <c r="E11" s="32" t="str">
        <f t="shared" si="0"/>
        <v/>
      </c>
      <c r="F11" s="32" t="str">
        <f t="shared" si="1"/>
        <v/>
      </c>
      <c r="G11" s="68" t="str">
        <f t="shared" si="2"/>
        <v/>
      </c>
      <c r="H11" s="68" t="str">
        <f t="shared" si="3"/>
        <v/>
      </c>
      <c r="I11" s="68" t="str">
        <f t="shared" si="4"/>
        <v/>
      </c>
      <c r="J11" s="275" t="str">
        <f t="shared" si="5"/>
        <v/>
      </c>
      <c r="K11" s="256" t="str">
        <f t="shared" si="6"/>
        <v/>
      </c>
      <c r="L11" s="260"/>
      <c r="M11" s="263"/>
      <c r="N11" s="260"/>
      <c r="O11" s="264"/>
      <c r="P11" s="6"/>
      <c r="Q11" s="8"/>
      <c r="R11" s="170" t="str">
        <f t="shared" ref="R11:R23" si="21">IFERROR(VLOOKUP($C11,PlayerList,11,FALSE),"")</f>
        <v/>
      </c>
      <c r="S11" s="168" t="str">
        <f t="shared" si="7"/>
        <v/>
      </c>
      <c r="T11" s="168" t="str">
        <f t="shared" si="8"/>
        <v/>
      </c>
      <c r="U11" s="168"/>
      <c r="V11" s="168"/>
      <c r="W11" s="168"/>
      <c r="X11" s="168"/>
      <c r="Y11" s="171"/>
      <c r="Z11" s="170" t="e">
        <f t="shared" si="9"/>
        <v>#N/A</v>
      </c>
      <c r="AA11" s="168" t="e">
        <f t="shared" si="9"/>
        <v>#N/A</v>
      </c>
      <c r="AB11" s="168" t="str">
        <f t="shared" si="10"/>
        <v>$R$38:$R$52</v>
      </c>
      <c r="AC11" s="168"/>
      <c r="AD11" s="170" t="e">
        <f t="shared" si="11"/>
        <v>#N/A</v>
      </c>
      <c r="AE11" s="168" t="e">
        <f t="shared" si="12"/>
        <v>#N/A</v>
      </c>
      <c r="AF11" s="168"/>
      <c r="AG11" s="194" t="s">
        <v>677</v>
      </c>
      <c r="AH11" s="187" t="str">
        <f>IFERROR(VLOOKUP($D$2,Teams!$B$2:'Teams'!$I$31,6,FALSE),"-")</f>
        <v>-</v>
      </c>
      <c r="AI11" s="221">
        <v>3</v>
      </c>
      <c r="AJ11" s="197" t="e">
        <f t="shared" si="13"/>
        <v>#N/A</v>
      </c>
      <c r="AK11" s="197" t="str">
        <f t="shared" si="14"/>
        <v/>
      </c>
      <c r="AL11" s="197" t="str">
        <f t="shared" si="15"/>
        <v/>
      </c>
      <c r="AM11" s="197" t="str">
        <f t="shared" si="16"/>
        <v/>
      </c>
      <c r="AN11" s="197" t="str">
        <f t="shared" si="17"/>
        <v/>
      </c>
      <c r="AO11" s="197" t="b">
        <f t="shared" si="18"/>
        <v>0</v>
      </c>
      <c r="AP11" s="221">
        <v>3</v>
      </c>
      <c r="AQ11" s="168" t="str">
        <f t="shared" si="19"/>
        <v/>
      </c>
      <c r="AR11" s="171" t="b">
        <f t="shared" si="20"/>
        <v>0</v>
      </c>
    </row>
    <row r="12" spans="1:44" s="2" customFormat="1" ht="24" customHeight="1" x14ac:dyDescent="0.25">
      <c r="A12" s="8"/>
      <c r="B12" s="9">
        <v>5</v>
      </c>
      <c r="C12" s="347"/>
      <c r="D12" s="348"/>
      <c r="E12" s="32" t="str">
        <f t="shared" si="0"/>
        <v/>
      </c>
      <c r="F12" s="32" t="str">
        <f t="shared" si="1"/>
        <v/>
      </c>
      <c r="G12" s="68" t="str">
        <f t="shared" si="2"/>
        <v/>
      </c>
      <c r="H12" s="68" t="str">
        <f t="shared" si="3"/>
        <v/>
      </c>
      <c r="I12" s="68" t="str">
        <f t="shared" si="4"/>
        <v/>
      </c>
      <c r="J12" s="275" t="str">
        <f t="shared" si="5"/>
        <v/>
      </c>
      <c r="K12" s="256" t="str">
        <f t="shared" si="6"/>
        <v/>
      </c>
      <c r="L12" s="260"/>
      <c r="M12" s="263"/>
      <c r="N12" s="260"/>
      <c r="O12" s="264"/>
      <c r="P12" s="6"/>
      <c r="Q12" s="8"/>
      <c r="R12" s="170" t="str">
        <f t="shared" si="21"/>
        <v/>
      </c>
      <c r="S12" s="168" t="str">
        <f t="shared" si="7"/>
        <v/>
      </c>
      <c r="T12" s="168" t="str">
        <f t="shared" si="8"/>
        <v/>
      </c>
      <c r="U12" s="168"/>
      <c r="V12" s="168"/>
      <c r="W12" s="168"/>
      <c r="X12" s="168"/>
      <c r="Y12" s="171"/>
      <c r="Z12" s="170" t="e">
        <f t="shared" si="9"/>
        <v>#N/A</v>
      </c>
      <c r="AA12" s="168" t="e">
        <f t="shared" si="9"/>
        <v>#N/A</v>
      </c>
      <c r="AB12" s="168" t="str">
        <f t="shared" si="10"/>
        <v>$R$38:$R$52</v>
      </c>
      <c r="AC12" s="168"/>
      <c r="AD12" s="170" t="e">
        <f t="shared" si="11"/>
        <v>#N/A</v>
      </c>
      <c r="AE12" s="168" t="e">
        <f t="shared" si="12"/>
        <v>#N/A</v>
      </c>
      <c r="AF12" s="168"/>
      <c r="AG12" s="194" t="s">
        <v>914</v>
      </c>
      <c r="AH12" s="171" t="str">
        <f>IF(ISNUMBER(SEARCH("LCL",$AH$8)),"Riotous Rookies",IF(ISNUMBER(SEARCH("NGL",$AH$8)),"Plague Doctor",IF(ISNUMBER(SEARCH("SSL",$AH$8)),"Mortuary Assistant","")))</f>
        <v/>
      </c>
      <c r="AI12" s="221">
        <v>4</v>
      </c>
      <c r="AJ12" s="197" t="e">
        <f t="shared" si="13"/>
        <v>#N/A</v>
      </c>
      <c r="AK12" s="197" t="str">
        <f t="shared" si="14"/>
        <v/>
      </c>
      <c r="AL12" s="197" t="str">
        <f t="shared" si="15"/>
        <v/>
      </c>
      <c r="AM12" s="197" t="str">
        <f t="shared" si="16"/>
        <v/>
      </c>
      <c r="AN12" s="197" t="str">
        <f t="shared" si="17"/>
        <v/>
      </c>
      <c r="AO12" s="197" t="b">
        <f t="shared" si="18"/>
        <v>0</v>
      </c>
      <c r="AP12" s="221">
        <v>4</v>
      </c>
      <c r="AQ12" s="168" t="str">
        <f t="shared" si="19"/>
        <v/>
      </c>
      <c r="AR12" s="171" t="b">
        <f t="shared" si="20"/>
        <v>0</v>
      </c>
    </row>
    <row r="13" spans="1:44" s="2" customFormat="1" ht="24" customHeight="1" x14ac:dyDescent="0.25">
      <c r="A13" s="8"/>
      <c r="B13" s="9">
        <v>6</v>
      </c>
      <c r="C13" s="347"/>
      <c r="D13" s="348"/>
      <c r="E13" s="32" t="str">
        <f t="shared" si="0"/>
        <v/>
      </c>
      <c r="F13" s="32" t="str">
        <f t="shared" si="1"/>
        <v/>
      </c>
      <c r="G13" s="68" t="str">
        <f t="shared" si="2"/>
        <v/>
      </c>
      <c r="H13" s="68" t="str">
        <f t="shared" si="3"/>
        <v/>
      </c>
      <c r="I13" s="68" t="str">
        <f t="shared" si="4"/>
        <v/>
      </c>
      <c r="J13" s="275" t="str">
        <f t="shared" si="5"/>
        <v/>
      </c>
      <c r="K13" s="256" t="str">
        <f t="shared" si="6"/>
        <v/>
      </c>
      <c r="L13" s="260"/>
      <c r="M13" s="263"/>
      <c r="N13" s="260"/>
      <c r="O13" s="264"/>
      <c r="P13" s="6"/>
      <c r="Q13" s="8"/>
      <c r="R13" s="170" t="str">
        <f t="shared" si="21"/>
        <v/>
      </c>
      <c r="S13" s="168" t="str">
        <f t="shared" si="7"/>
        <v/>
      </c>
      <c r="T13" s="168" t="str">
        <f t="shared" si="8"/>
        <v/>
      </c>
      <c r="U13" s="168"/>
      <c r="V13" s="168"/>
      <c r="W13" s="168"/>
      <c r="X13" s="168"/>
      <c r="Y13" s="171"/>
      <c r="Z13" s="170" t="e">
        <f t="shared" si="9"/>
        <v>#N/A</v>
      </c>
      <c r="AA13" s="168" t="e">
        <f t="shared" si="9"/>
        <v>#N/A</v>
      </c>
      <c r="AB13" s="168" t="str">
        <f t="shared" si="10"/>
        <v>$R$38:$R$52</v>
      </c>
      <c r="AC13" s="168"/>
      <c r="AD13" s="170" t="e">
        <f t="shared" si="11"/>
        <v>#N/A</v>
      </c>
      <c r="AE13" s="168" t="e">
        <f t="shared" si="12"/>
        <v>#N/A</v>
      </c>
      <c r="AF13" s="168"/>
      <c r="AG13" s="194" t="s">
        <v>915</v>
      </c>
      <c r="AH13" s="171">
        <f>IF(ISNUMBER(SEARCH("HTC",$AH$8)),100000,300000)</f>
        <v>300000</v>
      </c>
      <c r="AI13" s="221">
        <v>5</v>
      </c>
      <c r="AJ13" s="197" t="e">
        <f t="shared" si="13"/>
        <v>#N/A</v>
      </c>
      <c r="AK13" s="197" t="str">
        <f t="shared" si="14"/>
        <v/>
      </c>
      <c r="AL13" s="197" t="str">
        <f t="shared" si="15"/>
        <v/>
      </c>
      <c r="AM13" s="197" t="str">
        <f t="shared" si="16"/>
        <v/>
      </c>
      <c r="AN13" s="197" t="str">
        <f t="shared" si="17"/>
        <v/>
      </c>
      <c r="AO13" s="197" t="b">
        <f t="shared" si="18"/>
        <v>0</v>
      </c>
      <c r="AP13" s="221">
        <v>5</v>
      </c>
      <c r="AQ13" s="168" t="str">
        <f t="shared" si="19"/>
        <v/>
      </c>
      <c r="AR13" s="171" t="b">
        <f t="shared" si="20"/>
        <v>0</v>
      </c>
    </row>
    <row r="14" spans="1:44" s="2" customFormat="1" ht="24" customHeight="1" x14ac:dyDescent="0.25">
      <c r="A14" s="8"/>
      <c r="B14" s="9">
        <v>7</v>
      </c>
      <c r="C14" s="347"/>
      <c r="D14" s="348"/>
      <c r="E14" s="32" t="str">
        <f t="shared" si="0"/>
        <v/>
      </c>
      <c r="F14" s="32" t="str">
        <f t="shared" si="1"/>
        <v/>
      </c>
      <c r="G14" s="68" t="str">
        <f t="shared" si="2"/>
        <v/>
      </c>
      <c r="H14" s="68" t="str">
        <f t="shared" si="3"/>
        <v/>
      </c>
      <c r="I14" s="68" t="str">
        <f t="shared" si="4"/>
        <v/>
      </c>
      <c r="J14" s="275" t="str">
        <f t="shared" si="5"/>
        <v/>
      </c>
      <c r="K14" s="256" t="str">
        <f t="shared" si="6"/>
        <v/>
      </c>
      <c r="L14" s="260"/>
      <c r="M14" s="263"/>
      <c r="N14" s="260"/>
      <c r="O14" s="264"/>
      <c r="P14" s="6"/>
      <c r="Q14" s="8"/>
      <c r="R14" s="170" t="str">
        <f t="shared" si="21"/>
        <v/>
      </c>
      <c r="S14" s="168" t="str">
        <f t="shared" si="7"/>
        <v/>
      </c>
      <c r="T14" s="168" t="str">
        <f t="shared" si="8"/>
        <v/>
      </c>
      <c r="U14" s="168"/>
      <c r="V14" s="168"/>
      <c r="W14" s="168"/>
      <c r="X14" s="168"/>
      <c r="Y14" s="171"/>
      <c r="Z14" s="170" t="e">
        <f t="shared" si="9"/>
        <v>#N/A</v>
      </c>
      <c r="AA14" s="168" t="e">
        <f t="shared" si="9"/>
        <v>#N/A</v>
      </c>
      <c r="AB14" s="168" t="str">
        <f t="shared" si="10"/>
        <v>$R$38:$R$52</v>
      </c>
      <c r="AC14" s="168"/>
      <c r="AD14" s="170" t="e">
        <f t="shared" si="11"/>
        <v>#N/A</v>
      </c>
      <c r="AE14" s="168" t="e">
        <f t="shared" si="12"/>
        <v>#N/A</v>
      </c>
      <c r="AF14" s="168"/>
      <c r="AG14" s="194" t="s">
        <v>916</v>
      </c>
      <c r="AH14" s="171">
        <f>IF(ISNUMBER(SEARCH("BAC",$AH$8)),50000,100000)</f>
        <v>100000</v>
      </c>
      <c r="AI14" s="221">
        <v>6</v>
      </c>
      <c r="AJ14" s="197" t="e">
        <f t="shared" si="13"/>
        <v>#N/A</v>
      </c>
      <c r="AK14" s="197" t="str">
        <f t="shared" si="14"/>
        <v/>
      </c>
      <c r="AL14" s="197" t="str">
        <f t="shared" si="15"/>
        <v/>
      </c>
      <c r="AM14" s="197" t="str">
        <f t="shared" si="16"/>
        <v/>
      </c>
      <c r="AN14" s="197" t="str">
        <f t="shared" si="17"/>
        <v/>
      </c>
      <c r="AO14" s="197" t="b">
        <f t="shared" si="18"/>
        <v>0</v>
      </c>
      <c r="AP14" s="221">
        <v>6</v>
      </c>
      <c r="AQ14" s="168" t="str">
        <f t="shared" si="19"/>
        <v/>
      </c>
      <c r="AR14" s="171" t="b">
        <f t="shared" si="20"/>
        <v>0</v>
      </c>
    </row>
    <row r="15" spans="1:44" s="2" customFormat="1" ht="24" customHeight="1" x14ac:dyDescent="0.25">
      <c r="A15" s="8"/>
      <c r="B15" s="9">
        <v>8</v>
      </c>
      <c r="C15" s="347"/>
      <c r="D15" s="348"/>
      <c r="E15" s="32" t="str">
        <f t="shared" si="0"/>
        <v/>
      </c>
      <c r="F15" s="32" t="str">
        <f t="shared" si="1"/>
        <v/>
      </c>
      <c r="G15" s="68" t="str">
        <f t="shared" si="2"/>
        <v/>
      </c>
      <c r="H15" s="68" t="str">
        <f t="shared" si="3"/>
        <v/>
      </c>
      <c r="I15" s="68" t="str">
        <f t="shared" si="4"/>
        <v/>
      </c>
      <c r="J15" s="275" t="str">
        <f t="shared" si="5"/>
        <v/>
      </c>
      <c r="K15" s="256" t="str">
        <f t="shared" si="6"/>
        <v/>
      </c>
      <c r="L15" s="260"/>
      <c r="M15" s="263"/>
      <c r="N15" s="260"/>
      <c r="O15" s="264"/>
      <c r="P15" s="6"/>
      <c r="Q15" s="8"/>
      <c r="R15" s="170" t="str">
        <f t="shared" si="21"/>
        <v/>
      </c>
      <c r="S15" s="168" t="str">
        <f t="shared" si="7"/>
        <v/>
      </c>
      <c r="T15" s="168" t="str">
        <f t="shared" si="8"/>
        <v/>
      </c>
      <c r="U15" s="168"/>
      <c r="V15" s="168"/>
      <c r="W15" s="168"/>
      <c r="X15" s="168"/>
      <c r="Y15" s="171"/>
      <c r="Z15" s="170" t="e">
        <f t="shared" si="9"/>
        <v>#N/A</v>
      </c>
      <c r="AA15" s="168" t="e">
        <f t="shared" si="9"/>
        <v>#N/A</v>
      </c>
      <c r="AB15" s="168" t="str">
        <f t="shared" si="10"/>
        <v>$R$38:$R$52</v>
      </c>
      <c r="AC15" s="168"/>
      <c r="AD15" s="170" t="e">
        <f t="shared" si="11"/>
        <v>#N/A</v>
      </c>
      <c r="AE15" s="168" t="e">
        <f t="shared" si="12"/>
        <v>#N/A</v>
      </c>
      <c r="AF15" s="168"/>
      <c r="AG15" s="194" t="s">
        <v>824</v>
      </c>
      <c r="AH15" s="171">
        <f>IF(ISNUMBER(SEARCH("LCL",$AH$8)),80000,100000)</f>
        <v>100000</v>
      </c>
      <c r="AI15" s="221">
        <v>7</v>
      </c>
      <c r="AJ15" s="197" t="e">
        <f t="shared" si="13"/>
        <v>#N/A</v>
      </c>
      <c r="AK15" s="197" t="str">
        <f t="shared" si="14"/>
        <v/>
      </c>
      <c r="AL15" s="197" t="str">
        <f t="shared" si="15"/>
        <v/>
      </c>
      <c r="AM15" s="197" t="str">
        <f t="shared" si="16"/>
        <v/>
      </c>
      <c r="AN15" s="197" t="str">
        <f t="shared" si="17"/>
        <v/>
      </c>
      <c r="AO15" s="197" t="b">
        <f t="shared" si="18"/>
        <v>0</v>
      </c>
      <c r="AP15" s="221">
        <v>7</v>
      </c>
      <c r="AQ15" s="168" t="str">
        <f t="shared" si="19"/>
        <v/>
      </c>
      <c r="AR15" s="171" t="b">
        <f t="shared" si="20"/>
        <v>0</v>
      </c>
    </row>
    <row r="16" spans="1:44" s="2" customFormat="1" ht="24" customHeight="1" x14ac:dyDescent="0.25">
      <c r="A16" s="8"/>
      <c r="B16" s="9">
        <v>9</v>
      </c>
      <c r="C16" s="347"/>
      <c r="D16" s="348"/>
      <c r="E16" s="32" t="str">
        <f t="shared" si="0"/>
        <v/>
      </c>
      <c r="F16" s="32" t="str">
        <f t="shared" si="1"/>
        <v/>
      </c>
      <c r="G16" s="68" t="str">
        <f t="shared" si="2"/>
        <v/>
      </c>
      <c r="H16" s="68" t="str">
        <f t="shared" si="3"/>
        <v/>
      </c>
      <c r="I16" s="68" t="str">
        <f t="shared" si="4"/>
        <v/>
      </c>
      <c r="J16" s="275" t="str">
        <f t="shared" si="5"/>
        <v/>
      </c>
      <c r="K16" s="256" t="str">
        <f t="shared" si="6"/>
        <v/>
      </c>
      <c r="L16" s="260"/>
      <c r="M16" s="263"/>
      <c r="N16" s="260"/>
      <c r="O16" s="264"/>
      <c r="P16" s="6"/>
      <c r="Q16" s="8"/>
      <c r="R16" s="170" t="str">
        <f t="shared" si="21"/>
        <v/>
      </c>
      <c r="S16" s="168" t="str">
        <f t="shared" si="7"/>
        <v/>
      </c>
      <c r="T16" s="168" t="str">
        <f t="shared" si="8"/>
        <v/>
      </c>
      <c r="U16" s="168"/>
      <c r="V16" s="168"/>
      <c r="W16" s="168"/>
      <c r="X16" s="168"/>
      <c r="Y16" s="171"/>
      <c r="Z16" s="170" t="e">
        <f t="shared" si="9"/>
        <v>#N/A</v>
      </c>
      <c r="AA16" s="168" t="e">
        <f t="shared" si="9"/>
        <v>#N/A</v>
      </c>
      <c r="AB16" s="168" t="str">
        <f t="shared" si="10"/>
        <v>$R$38:$R$52</v>
      </c>
      <c r="AC16" s="168"/>
      <c r="AD16" s="170" t="e">
        <f t="shared" si="11"/>
        <v>#N/A</v>
      </c>
      <c r="AE16" s="168" t="e">
        <f t="shared" si="12"/>
        <v>#N/A</v>
      </c>
      <c r="AF16" s="168"/>
      <c r="AG16" s="170"/>
      <c r="AH16" s="171"/>
      <c r="AI16" s="221">
        <v>8</v>
      </c>
      <c r="AJ16" s="197" t="e">
        <f t="shared" si="13"/>
        <v>#N/A</v>
      </c>
      <c r="AK16" s="197" t="str">
        <f t="shared" si="14"/>
        <v/>
      </c>
      <c r="AL16" s="197" t="str">
        <f t="shared" si="15"/>
        <v/>
      </c>
      <c r="AM16" s="197" t="str">
        <f t="shared" si="16"/>
        <v/>
      </c>
      <c r="AN16" s="197" t="str">
        <f t="shared" si="17"/>
        <v/>
      </c>
      <c r="AO16" s="197" t="b">
        <f t="shared" si="18"/>
        <v>0</v>
      </c>
      <c r="AP16" s="221">
        <v>8</v>
      </c>
      <c r="AQ16" s="168" t="str">
        <f t="shared" si="19"/>
        <v/>
      </c>
      <c r="AR16" s="171" t="b">
        <f t="shared" si="20"/>
        <v>0</v>
      </c>
    </row>
    <row r="17" spans="1:44" s="2" customFormat="1" ht="24" customHeight="1" x14ac:dyDescent="0.25">
      <c r="A17" s="8"/>
      <c r="B17" s="9">
        <v>10</v>
      </c>
      <c r="C17" s="347"/>
      <c r="D17" s="348"/>
      <c r="E17" s="32" t="str">
        <f t="shared" si="0"/>
        <v/>
      </c>
      <c r="F17" s="32" t="str">
        <f t="shared" si="1"/>
        <v/>
      </c>
      <c r="G17" s="68" t="str">
        <f t="shared" si="2"/>
        <v/>
      </c>
      <c r="H17" s="68" t="str">
        <f t="shared" si="3"/>
        <v/>
      </c>
      <c r="I17" s="68" t="str">
        <f t="shared" si="4"/>
        <v/>
      </c>
      <c r="J17" s="275" t="str">
        <f t="shared" si="5"/>
        <v/>
      </c>
      <c r="K17" s="256" t="str">
        <f t="shared" si="6"/>
        <v/>
      </c>
      <c r="L17" s="260"/>
      <c r="M17" s="263"/>
      <c r="N17" s="260"/>
      <c r="O17" s="264"/>
      <c r="P17" s="6"/>
      <c r="Q17" s="8"/>
      <c r="R17" s="170" t="str">
        <f t="shared" si="21"/>
        <v/>
      </c>
      <c r="S17" s="168" t="str">
        <f t="shared" si="7"/>
        <v/>
      </c>
      <c r="T17" s="168" t="str">
        <f t="shared" si="8"/>
        <v/>
      </c>
      <c r="U17" s="168"/>
      <c r="V17" s="168"/>
      <c r="W17" s="168"/>
      <c r="X17" s="168"/>
      <c r="Y17" s="171"/>
      <c r="Z17" s="170" t="e">
        <f t="shared" si="9"/>
        <v>#N/A</v>
      </c>
      <c r="AA17" s="168" t="e">
        <f t="shared" si="9"/>
        <v>#N/A</v>
      </c>
      <c r="AB17" s="168" t="str">
        <f t="shared" si="10"/>
        <v>$R$38:$R$52</v>
      </c>
      <c r="AC17" s="168"/>
      <c r="AD17" s="170" t="e">
        <f t="shared" si="11"/>
        <v>#N/A</v>
      </c>
      <c r="AE17" s="168" t="e">
        <f t="shared" si="12"/>
        <v>#N/A</v>
      </c>
      <c r="AF17" s="168"/>
      <c r="AG17" s="170"/>
      <c r="AH17" s="171"/>
      <c r="AI17" s="221">
        <v>9</v>
      </c>
      <c r="AJ17" s="197" t="e">
        <f t="shared" si="13"/>
        <v>#N/A</v>
      </c>
      <c r="AK17" s="197" t="str">
        <f t="shared" si="14"/>
        <v/>
      </c>
      <c r="AL17" s="197" t="str">
        <f t="shared" si="15"/>
        <v/>
      </c>
      <c r="AM17" s="197" t="str">
        <f t="shared" si="16"/>
        <v/>
      </c>
      <c r="AN17" s="197" t="str">
        <f t="shared" si="17"/>
        <v/>
      </c>
      <c r="AO17" s="197" t="b">
        <f t="shared" si="18"/>
        <v>0</v>
      </c>
      <c r="AP17" s="221">
        <v>9</v>
      </c>
      <c r="AQ17" s="168" t="str">
        <f t="shared" si="19"/>
        <v/>
      </c>
      <c r="AR17" s="171" t="b">
        <f t="shared" si="20"/>
        <v>0</v>
      </c>
    </row>
    <row r="18" spans="1:44" s="2" customFormat="1" ht="24" customHeight="1" x14ac:dyDescent="0.25">
      <c r="A18" s="8"/>
      <c r="B18" s="9">
        <v>11</v>
      </c>
      <c r="C18" s="347"/>
      <c r="D18" s="348"/>
      <c r="E18" s="32" t="str">
        <f t="shared" si="0"/>
        <v/>
      </c>
      <c r="F18" s="32" t="str">
        <f t="shared" si="1"/>
        <v/>
      </c>
      <c r="G18" s="68" t="str">
        <f t="shared" si="2"/>
        <v/>
      </c>
      <c r="H18" s="68" t="str">
        <f t="shared" si="3"/>
        <v/>
      </c>
      <c r="I18" s="68" t="str">
        <f t="shared" si="4"/>
        <v/>
      </c>
      <c r="J18" s="275" t="str">
        <f t="shared" si="5"/>
        <v/>
      </c>
      <c r="K18" s="256" t="str">
        <f t="shared" si="6"/>
        <v/>
      </c>
      <c r="L18" s="260"/>
      <c r="M18" s="263"/>
      <c r="N18" s="260"/>
      <c r="O18" s="264"/>
      <c r="P18" s="6"/>
      <c r="Q18" s="8"/>
      <c r="R18" s="170" t="str">
        <f t="shared" si="21"/>
        <v/>
      </c>
      <c r="S18" s="168" t="str">
        <f t="shared" si="7"/>
        <v/>
      </c>
      <c r="T18" s="168" t="str">
        <f t="shared" si="8"/>
        <v/>
      </c>
      <c r="U18" s="168"/>
      <c r="V18" s="168"/>
      <c r="W18" s="168"/>
      <c r="X18" s="168"/>
      <c r="Y18" s="171"/>
      <c r="Z18" s="170" t="e">
        <f t="shared" si="9"/>
        <v>#N/A</v>
      </c>
      <c r="AA18" s="168" t="e">
        <f t="shared" si="9"/>
        <v>#N/A</v>
      </c>
      <c r="AB18" s="168" t="str">
        <f t="shared" si="10"/>
        <v>$R$38:$R$52</v>
      </c>
      <c r="AC18" s="168"/>
      <c r="AD18" s="170" t="e">
        <f t="shared" si="11"/>
        <v>#N/A</v>
      </c>
      <c r="AE18" s="168" t="e">
        <f t="shared" si="12"/>
        <v>#N/A</v>
      </c>
      <c r="AF18" s="168"/>
      <c r="AG18" s="170"/>
      <c r="AH18" s="171"/>
      <c r="AI18" s="221">
        <v>10</v>
      </c>
      <c r="AJ18" s="197" t="e">
        <f t="shared" si="13"/>
        <v>#N/A</v>
      </c>
      <c r="AK18" s="197" t="str">
        <f t="shared" si="14"/>
        <v/>
      </c>
      <c r="AL18" s="197" t="str">
        <f t="shared" si="15"/>
        <v/>
      </c>
      <c r="AM18" s="197" t="str">
        <f t="shared" si="16"/>
        <v/>
      </c>
      <c r="AN18" s="197" t="str">
        <f t="shared" si="17"/>
        <v/>
      </c>
      <c r="AO18" s="197" t="b">
        <f t="shared" si="18"/>
        <v>0</v>
      </c>
      <c r="AP18" s="221">
        <v>10</v>
      </c>
      <c r="AQ18" s="168" t="str">
        <f t="shared" si="19"/>
        <v/>
      </c>
      <c r="AR18" s="171" t="b">
        <f t="shared" si="20"/>
        <v>0</v>
      </c>
    </row>
    <row r="19" spans="1:44" s="2" customFormat="1" ht="24" customHeight="1" x14ac:dyDescent="0.25">
      <c r="A19" s="8"/>
      <c r="B19" s="9">
        <v>12</v>
      </c>
      <c r="C19" s="347"/>
      <c r="D19" s="348"/>
      <c r="E19" s="32" t="str">
        <f t="shared" si="0"/>
        <v/>
      </c>
      <c r="F19" s="32" t="str">
        <f t="shared" si="1"/>
        <v/>
      </c>
      <c r="G19" s="68" t="str">
        <f t="shared" si="2"/>
        <v/>
      </c>
      <c r="H19" s="68" t="str">
        <f t="shared" si="3"/>
        <v/>
      </c>
      <c r="I19" s="68" t="str">
        <f t="shared" si="4"/>
        <v/>
      </c>
      <c r="J19" s="275" t="str">
        <f t="shared" si="5"/>
        <v/>
      </c>
      <c r="K19" s="256" t="str">
        <f t="shared" si="6"/>
        <v/>
      </c>
      <c r="L19" s="260"/>
      <c r="M19" s="263"/>
      <c r="N19" s="260"/>
      <c r="O19" s="264"/>
      <c r="P19" s="6"/>
      <c r="Q19" s="8"/>
      <c r="R19" s="170" t="str">
        <f t="shared" si="21"/>
        <v/>
      </c>
      <c r="S19" s="168" t="str">
        <f t="shared" si="7"/>
        <v/>
      </c>
      <c r="T19" s="168" t="str">
        <f t="shared" si="8"/>
        <v/>
      </c>
      <c r="U19" s="168"/>
      <c r="V19" s="168"/>
      <c r="W19" s="168"/>
      <c r="X19" s="168"/>
      <c r="Y19" s="171"/>
      <c r="Z19" s="170" t="e">
        <f t="shared" si="9"/>
        <v>#N/A</v>
      </c>
      <c r="AA19" s="168" t="e">
        <f t="shared" si="9"/>
        <v>#N/A</v>
      </c>
      <c r="AB19" s="168" t="str">
        <f t="shared" si="10"/>
        <v>$R$38:$R$52</v>
      </c>
      <c r="AC19" s="168"/>
      <c r="AD19" s="170" t="e">
        <f t="shared" si="11"/>
        <v>#N/A</v>
      </c>
      <c r="AE19" s="168" t="e">
        <f t="shared" si="12"/>
        <v>#N/A</v>
      </c>
      <c r="AF19" s="168"/>
      <c r="AG19" s="170"/>
      <c r="AH19" s="171"/>
      <c r="AI19" s="221">
        <v>11</v>
      </c>
      <c r="AJ19" s="197" t="e">
        <f t="shared" si="13"/>
        <v>#N/A</v>
      </c>
      <c r="AK19" s="197" t="str">
        <f t="shared" si="14"/>
        <v/>
      </c>
      <c r="AL19" s="197" t="str">
        <f t="shared" si="15"/>
        <v/>
      </c>
      <c r="AM19" s="197" t="str">
        <f t="shared" si="16"/>
        <v/>
      </c>
      <c r="AN19" s="197" t="str">
        <f t="shared" si="17"/>
        <v/>
      </c>
      <c r="AO19" s="197" t="b">
        <f t="shared" si="18"/>
        <v>0</v>
      </c>
      <c r="AP19" s="221">
        <v>11</v>
      </c>
      <c r="AQ19" s="168" t="str">
        <f t="shared" si="19"/>
        <v/>
      </c>
      <c r="AR19" s="171" t="b">
        <f t="shared" si="20"/>
        <v>0</v>
      </c>
    </row>
    <row r="20" spans="1:44" s="2" customFormat="1" ht="24" customHeight="1" x14ac:dyDescent="0.25">
      <c r="A20" s="8"/>
      <c r="B20" s="9">
        <v>13</v>
      </c>
      <c r="C20" s="347"/>
      <c r="D20" s="348"/>
      <c r="E20" s="32" t="str">
        <f t="shared" si="0"/>
        <v/>
      </c>
      <c r="F20" s="32" t="str">
        <f t="shared" si="1"/>
        <v/>
      </c>
      <c r="G20" s="68" t="str">
        <f t="shared" si="2"/>
        <v/>
      </c>
      <c r="H20" s="68" t="str">
        <f t="shared" si="3"/>
        <v/>
      </c>
      <c r="I20" s="68" t="str">
        <f t="shared" si="4"/>
        <v/>
      </c>
      <c r="J20" s="275" t="str">
        <f t="shared" si="5"/>
        <v/>
      </c>
      <c r="K20" s="256" t="str">
        <f t="shared" si="6"/>
        <v/>
      </c>
      <c r="L20" s="260"/>
      <c r="M20" s="263"/>
      <c r="N20" s="260"/>
      <c r="O20" s="264"/>
      <c r="P20" s="6"/>
      <c r="Q20" s="8"/>
      <c r="R20" s="170" t="str">
        <f t="shared" si="21"/>
        <v/>
      </c>
      <c r="S20" s="168" t="str">
        <f t="shared" si="7"/>
        <v/>
      </c>
      <c r="T20" s="168" t="str">
        <f t="shared" si="8"/>
        <v/>
      </c>
      <c r="U20" s="168"/>
      <c r="V20" s="168"/>
      <c r="W20" s="168"/>
      <c r="X20" s="168"/>
      <c r="Y20" s="171"/>
      <c r="Z20" s="170" t="e">
        <f t="shared" si="9"/>
        <v>#N/A</v>
      </c>
      <c r="AA20" s="168" t="e">
        <f t="shared" si="9"/>
        <v>#N/A</v>
      </c>
      <c r="AB20" s="168" t="str">
        <f t="shared" si="10"/>
        <v>$R$38:$R$52</v>
      </c>
      <c r="AC20" s="168"/>
      <c r="AD20" s="170" t="e">
        <f t="shared" si="11"/>
        <v>#N/A</v>
      </c>
      <c r="AE20" s="168" t="e">
        <f t="shared" si="12"/>
        <v>#N/A</v>
      </c>
      <c r="AF20" s="168"/>
      <c r="AG20" s="170"/>
      <c r="AH20" s="171"/>
      <c r="AI20" s="221">
        <v>12</v>
      </c>
      <c r="AJ20" s="197" t="e">
        <f t="shared" si="13"/>
        <v>#N/A</v>
      </c>
      <c r="AK20" s="197" t="str">
        <f t="shared" si="14"/>
        <v/>
      </c>
      <c r="AL20" s="197" t="str">
        <f t="shared" si="15"/>
        <v/>
      </c>
      <c r="AM20" s="197" t="str">
        <f t="shared" si="16"/>
        <v/>
      </c>
      <c r="AN20" s="197" t="str">
        <f t="shared" si="17"/>
        <v/>
      </c>
      <c r="AO20" s="197"/>
      <c r="AP20" s="221">
        <v>12</v>
      </c>
      <c r="AQ20" s="168" t="str">
        <f t="shared" si="19"/>
        <v/>
      </c>
      <c r="AR20" s="171" t="b">
        <f t="shared" si="20"/>
        <v>0</v>
      </c>
    </row>
    <row r="21" spans="1:44" s="2" customFormat="1" ht="24" customHeight="1" x14ac:dyDescent="0.25">
      <c r="A21" s="8"/>
      <c r="B21" s="9">
        <v>14</v>
      </c>
      <c r="C21" s="347"/>
      <c r="D21" s="348"/>
      <c r="E21" s="32" t="str">
        <f t="shared" si="0"/>
        <v/>
      </c>
      <c r="F21" s="32" t="str">
        <f t="shared" si="1"/>
        <v/>
      </c>
      <c r="G21" s="68" t="str">
        <f t="shared" si="2"/>
        <v/>
      </c>
      <c r="H21" s="68" t="str">
        <f t="shared" si="3"/>
        <v/>
      </c>
      <c r="I21" s="68" t="str">
        <f t="shared" si="4"/>
        <v/>
      </c>
      <c r="J21" s="275" t="str">
        <f t="shared" si="5"/>
        <v/>
      </c>
      <c r="K21" s="256" t="str">
        <f t="shared" si="6"/>
        <v/>
      </c>
      <c r="L21" s="260"/>
      <c r="M21" s="263"/>
      <c r="N21" s="260"/>
      <c r="O21" s="264"/>
      <c r="P21" s="6"/>
      <c r="Q21" s="8"/>
      <c r="R21" s="170" t="str">
        <f t="shared" si="21"/>
        <v/>
      </c>
      <c r="S21" s="168" t="str">
        <f t="shared" si="7"/>
        <v/>
      </c>
      <c r="T21" s="168" t="str">
        <f t="shared" si="8"/>
        <v/>
      </c>
      <c r="U21" s="168"/>
      <c r="V21" s="168"/>
      <c r="W21" s="168"/>
      <c r="X21" s="168"/>
      <c r="Y21" s="171"/>
      <c r="Z21" s="170" t="e">
        <f t="shared" si="9"/>
        <v>#N/A</v>
      </c>
      <c r="AA21" s="168" t="e">
        <f t="shared" si="9"/>
        <v>#N/A</v>
      </c>
      <c r="AB21" s="168" t="str">
        <f t="shared" si="10"/>
        <v>$R$38:$R$52</v>
      </c>
      <c r="AC21" s="168"/>
      <c r="AD21" s="170" t="e">
        <f t="shared" si="11"/>
        <v>#N/A</v>
      </c>
      <c r="AE21" s="168" t="e">
        <f t="shared" si="12"/>
        <v>#N/A</v>
      </c>
      <c r="AF21" s="168"/>
      <c r="AG21" s="170"/>
      <c r="AH21" s="171"/>
      <c r="AI21" s="221">
        <v>13</v>
      </c>
      <c r="AJ21" s="197" t="e">
        <f t="shared" si="13"/>
        <v>#N/A</v>
      </c>
      <c r="AK21" s="197" t="str">
        <f t="shared" si="14"/>
        <v/>
      </c>
      <c r="AL21" s="197" t="str">
        <f t="shared" si="15"/>
        <v/>
      </c>
      <c r="AM21" s="197" t="str">
        <f t="shared" si="16"/>
        <v/>
      </c>
      <c r="AN21" s="197" t="str">
        <f t="shared" si="17"/>
        <v/>
      </c>
      <c r="AO21" s="197"/>
      <c r="AP21" s="221">
        <v>13</v>
      </c>
      <c r="AQ21" s="168" t="str">
        <f t="shared" si="19"/>
        <v/>
      </c>
      <c r="AR21" s="171" t="b">
        <f t="shared" si="20"/>
        <v>0</v>
      </c>
    </row>
    <row r="22" spans="1:44" s="2" customFormat="1" ht="24" customHeight="1" x14ac:dyDescent="0.25">
      <c r="A22" s="8"/>
      <c r="B22" s="9">
        <v>15</v>
      </c>
      <c r="C22" s="347"/>
      <c r="D22" s="348"/>
      <c r="E22" s="32" t="str">
        <f t="shared" si="0"/>
        <v/>
      </c>
      <c r="F22" s="32" t="str">
        <f t="shared" si="1"/>
        <v/>
      </c>
      <c r="G22" s="68" t="str">
        <f t="shared" si="2"/>
        <v/>
      </c>
      <c r="H22" s="68" t="str">
        <f t="shared" si="3"/>
        <v/>
      </c>
      <c r="I22" s="68" t="str">
        <f t="shared" si="4"/>
        <v/>
      </c>
      <c r="J22" s="275" t="str">
        <f t="shared" si="5"/>
        <v/>
      </c>
      <c r="K22" s="256" t="str">
        <f t="shared" si="6"/>
        <v/>
      </c>
      <c r="L22" s="260"/>
      <c r="M22" s="263"/>
      <c r="N22" s="260"/>
      <c r="O22" s="264"/>
      <c r="P22" s="6"/>
      <c r="Q22" s="8"/>
      <c r="R22" s="170" t="str">
        <f t="shared" si="21"/>
        <v/>
      </c>
      <c r="S22" s="168" t="str">
        <f t="shared" si="7"/>
        <v/>
      </c>
      <c r="T22" s="168" t="str">
        <f t="shared" si="8"/>
        <v/>
      </c>
      <c r="U22" s="168"/>
      <c r="V22" s="168"/>
      <c r="W22" s="168"/>
      <c r="X22" s="168"/>
      <c r="Y22" s="171"/>
      <c r="Z22" s="170" t="e">
        <f t="shared" si="9"/>
        <v>#N/A</v>
      </c>
      <c r="AA22" s="168" t="e">
        <f t="shared" si="9"/>
        <v>#N/A</v>
      </c>
      <c r="AB22" s="168" t="str">
        <f t="shared" si="10"/>
        <v>$R$38:$R$52</v>
      </c>
      <c r="AC22" s="168"/>
      <c r="AD22" s="170" t="e">
        <f t="shared" si="11"/>
        <v>#N/A</v>
      </c>
      <c r="AE22" s="168" t="e">
        <f t="shared" si="12"/>
        <v>#N/A</v>
      </c>
      <c r="AF22" s="168"/>
      <c r="AG22" s="170"/>
      <c r="AH22" s="171"/>
      <c r="AI22" s="221">
        <v>14</v>
      </c>
      <c r="AJ22" s="197" t="e">
        <f t="shared" si="13"/>
        <v>#N/A</v>
      </c>
      <c r="AK22" s="197" t="str">
        <f t="shared" si="14"/>
        <v/>
      </c>
      <c r="AL22" s="197" t="str">
        <f t="shared" si="15"/>
        <v/>
      </c>
      <c r="AM22" s="197" t="str">
        <f t="shared" si="16"/>
        <v/>
      </c>
      <c r="AN22" s="197" t="str">
        <f t="shared" si="17"/>
        <v/>
      </c>
      <c r="AO22" s="197"/>
      <c r="AP22" s="221">
        <v>14</v>
      </c>
      <c r="AQ22" s="168" t="str">
        <f t="shared" si="19"/>
        <v/>
      </c>
      <c r="AR22" s="171" t="b">
        <f t="shared" si="20"/>
        <v>0</v>
      </c>
    </row>
    <row r="23" spans="1:44" s="2" customFormat="1" ht="24" customHeight="1" thickBot="1" x14ac:dyDescent="0.3">
      <c r="A23" s="8"/>
      <c r="B23" s="10">
        <v>16</v>
      </c>
      <c r="C23" s="349"/>
      <c r="D23" s="350"/>
      <c r="E23" s="138" t="str">
        <f t="shared" si="0"/>
        <v/>
      </c>
      <c r="F23" s="138" t="str">
        <f t="shared" si="1"/>
        <v/>
      </c>
      <c r="G23" s="139" t="str">
        <f t="shared" si="2"/>
        <v/>
      </c>
      <c r="H23" s="139" t="str">
        <f t="shared" si="3"/>
        <v/>
      </c>
      <c r="I23" s="139" t="str">
        <f t="shared" si="4"/>
        <v/>
      </c>
      <c r="J23" s="276" t="str">
        <f t="shared" si="5"/>
        <v/>
      </c>
      <c r="K23" s="257" t="str">
        <f t="shared" si="6"/>
        <v/>
      </c>
      <c r="L23" s="265"/>
      <c r="M23" s="266"/>
      <c r="N23" s="265"/>
      <c r="O23" s="267"/>
      <c r="P23" s="6"/>
      <c r="Q23" s="8"/>
      <c r="R23" s="170" t="str">
        <f t="shared" si="21"/>
        <v/>
      </c>
      <c r="S23" s="168" t="str">
        <f t="shared" si="7"/>
        <v/>
      </c>
      <c r="T23" s="168" t="str">
        <f t="shared" si="8"/>
        <v/>
      </c>
      <c r="U23" s="168"/>
      <c r="V23" s="168"/>
      <c r="W23" s="168"/>
      <c r="X23" s="168"/>
      <c r="Y23" s="171"/>
      <c r="Z23" s="170" t="e">
        <f t="shared" si="9"/>
        <v>#N/A</v>
      </c>
      <c r="AA23" s="168" t="e">
        <f t="shared" si="9"/>
        <v>#N/A</v>
      </c>
      <c r="AB23" s="168" t="str">
        <f t="shared" si="10"/>
        <v>$R$38:$R$52</v>
      </c>
      <c r="AC23" s="168"/>
      <c r="AD23" s="170" t="e">
        <f t="shared" si="11"/>
        <v>#N/A</v>
      </c>
      <c r="AE23" s="168" t="e">
        <f t="shared" si="12"/>
        <v>#N/A</v>
      </c>
      <c r="AF23" s="168"/>
      <c r="AG23" s="170"/>
      <c r="AH23" s="171"/>
      <c r="AI23" s="221">
        <v>15</v>
      </c>
      <c r="AJ23" s="197" t="e">
        <f t="shared" si="13"/>
        <v>#N/A</v>
      </c>
      <c r="AK23" s="197" t="str">
        <f t="shared" si="14"/>
        <v/>
      </c>
      <c r="AL23" s="197" t="str">
        <f t="shared" si="15"/>
        <v/>
      </c>
      <c r="AM23" s="197" t="str">
        <f t="shared" si="16"/>
        <v/>
      </c>
      <c r="AN23" s="197" t="str">
        <f t="shared" si="17"/>
        <v/>
      </c>
      <c r="AO23" s="197"/>
      <c r="AP23" s="221">
        <v>15</v>
      </c>
      <c r="AQ23" s="168" t="str">
        <f t="shared" si="19"/>
        <v/>
      </c>
      <c r="AR23" s="171" t="b">
        <f t="shared" si="20"/>
        <v>0</v>
      </c>
    </row>
    <row r="24" spans="1:44" s="2" customFormat="1" ht="24" customHeight="1" x14ac:dyDescent="0.25">
      <c r="A24" s="8"/>
      <c r="B24" s="11" t="s">
        <v>524</v>
      </c>
      <c r="C24" s="351" t="s">
        <v>956</v>
      </c>
      <c r="D24" s="352"/>
      <c r="E24" s="26" t="str">
        <f>IFERROR(VLOOKUP(C24,StarplayerList,3,FALSE),"")</f>
        <v/>
      </c>
      <c r="F24" s="26" t="str">
        <f>IFERROR(VLOOKUP(C24,StarplayerList,4,FALSE),"")</f>
        <v/>
      </c>
      <c r="G24" s="69" t="str">
        <f>IFERROR(VLOOKUP(C24,StarplayerList,5,FALSE),"")</f>
        <v/>
      </c>
      <c r="H24" s="69" t="str">
        <f>IFERROR(VLOOKUP(C24,StarplayerList,6,FALSE),"")</f>
        <v/>
      </c>
      <c r="I24" s="69" t="str">
        <f>IFERROR(VLOOKUP(C24,StarplayerList,7,FALSE),"")</f>
        <v/>
      </c>
      <c r="J24" s="277" t="str">
        <f>IFERROR(VLOOKUP(C24,StarplayerList,8,FALSE),"")</f>
        <v/>
      </c>
      <c r="K24" s="258" t="str">
        <f>IFERROR(1000*VLOOKUP(C24,StarplayerList,2,FALSE),"")</f>
        <v/>
      </c>
      <c r="L24" s="339" t="str">
        <f>IFERROR(VLOOKUP(C24,StarplayerList,9,FALSE),"")</f>
        <v/>
      </c>
      <c r="M24" s="340"/>
      <c r="N24" s="343" t="str">
        <f>IFERROR(VLOOKUP(C24,StarplayerList,12,FALSE),"")</f>
        <v/>
      </c>
      <c r="O24" s="344"/>
      <c r="P24" s="6"/>
      <c r="Q24" s="8"/>
      <c r="R24" s="170"/>
      <c r="S24" s="168"/>
      <c r="T24" s="168"/>
      <c r="U24" s="168"/>
      <c r="V24" s="168"/>
      <c r="W24" s="168"/>
      <c r="X24" s="168"/>
      <c r="Y24" s="171"/>
      <c r="Z24" s="170"/>
      <c r="AA24" s="168"/>
      <c r="AB24" s="168"/>
      <c r="AC24" s="168"/>
      <c r="AD24" s="170"/>
      <c r="AE24" s="168"/>
      <c r="AF24" s="168"/>
      <c r="AG24" s="170"/>
      <c r="AH24" s="171"/>
      <c r="AI24" s="221">
        <v>16</v>
      </c>
      <c r="AJ24" s="197" t="e">
        <f t="shared" si="13"/>
        <v>#N/A</v>
      </c>
      <c r="AK24" s="197" t="str">
        <f t="shared" si="14"/>
        <v/>
      </c>
      <c r="AL24" s="197" t="str">
        <f t="shared" si="15"/>
        <v/>
      </c>
      <c r="AM24" s="197" t="str">
        <f t="shared" si="16"/>
        <v/>
      </c>
      <c r="AN24" s="197" t="str">
        <f t="shared" si="17"/>
        <v/>
      </c>
      <c r="AO24" s="197"/>
      <c r="AP24" s="221">
        <v>16</v>
      </c>
      <c r="AQ24" s="168" t="str">
        <f t="shared" si="19"/>
        <v/>
      </c>
      <c r="AR24" s="171" t="b">
        <f t="shared" si="20"/>
        <v>0</v>
      </c>
    </row>
    <row r="25" spans="1:44" s="2" customFormat="1" ht="24" customHeight="1" thickBot="1" x14ac:dyDescent="0.3">
      <c r="A25" s="8"/>
      <c r="B25" s="10" t="s">
        <v>525</v>
      </c>
      <c r="C25" s="360" t="s">
        <v>956</v>
      </c>
      <c r="D25" s="361"/>
      <c r="E25" s="27" t="str">
        <f>IFERROR(VLOOKUP(C25,StarplayerList,3,FALSE),"")</f>
        <v/>
      </c>
      <c r="F25" s="27" t="str">
        <f>IFERROR(VLOOKUP(C25,StarplayerList,4,FALSE),"")</f>
        <v/>
      </c>
      <c r="G25" s="70" t="str">
        <f>IFERROR(VLOOKUP(C25,StarplayerList,5,FALSE),"")</f>
        <v/>
      </c>
      <c r="H25" s="70" t="str">
        <f>IFERROR(VLOOKUP(C25,StarplayerList,6,FALSE),"")</f>
        <v/>
      </c>
      <c r="I25" s="70" t="str">
        <f>IFERROR(VLOOKUP(C25,StarplayerList,7,FALSE),"")</f>
        <v/>
      </c>
      <c r="J25" s="276" t="str">
        <f>IFERROR(VLOOKUP(C25,StarplayerList,8,FALSE),"")</f>
        <v/>
      </c>
      <c r="K25" s="259" t="str">
        <f>IFERROR(1000*VLOOKUP(C25,StarplayerList,2,FALSE),"")</f>
        <v/>
      </c>
      <c r="L25" s="341" t="str">
        <f>IFERROR(VLOOKUP(C25,StarplayerList,9,FALSE),"")</f>
        <v/>
      </c>
      <c r="M25" s="342"/>
      <c r="N25" s="345" t="str">
        <f>IFERROR(VLOOKUP(C25,StarplayerList,12,FALSE),"")</f>
        <v/>
      </c>
      <c r="O25" s="346"/>
      <c r="P25" s="6"/>
      <c r="Q25" s="8"/>
      <c r="R25" s="172"/>
      <c r="S25" s="173"/>
      <c r="T25" s="173"/>
      <c r="U25" s="173"/>
      <c r="V25" s="173"/>
      <c r="W25" s="173"/>
      <c r="X25" s="173"/>
      <c r="Y25" s="174"/>
      <c r="Z25" s="172"/>
      <c r="AA25" s="173"/>
      <c r="AB25" s="173"/>
      <c r="AC25" s="173"/>
      <c r="AD25" s="172"/>
      <c r="AE25" s="173"/>
      <c r="AF25" s="173"/>
      <c r="AG25" s="172"/>
      <c r="AH25" s="174"/>
      <c r="AI25" s="222"/>
      <c r="AJ25" s="198"/>
      <c r="AK25" s="198"/>
      <c r="AL25" s="198"/>
      <c r="AM25" s="198"/>
      <c r="AN25" s="198"/>
      <c r="AO25" s="198"/>
      <c r="AP25" s="221">
        <v>17</v>
      </c>
      <c r="AQ25" s="168" t="str">
        <f t="shared" si="19"/>
        <v/>
      </c>
      <c r="AR25" s="171" t="b">
        <f t="shared" si="20"/>
        <v>0</v>
      </c>
    </row>
    <row r="26" spans="1:44" ht="15" customHeight="1" thickBot="1" x14ac:dyDescent="0.3">
      <c r="B26" s="22"/>
      <c r="C26" s="6"/>
      <c r="D26" s="6"/>
      <c r="E26" s="87"/>
      <c r="F26" s="87"/>
      <c r="G26" s="87"/>
      <c r="H26" s="87"/>
      <c r="I26" s="87"/>
      <c r="J26" s="6"/>
      <c r="K26" s="6"/>
      <c r="L26" s="6"/>
      <c r="M26" s="6"/>
      <c r="N26" s="6"/>
      <c r="O26" s="6"/>
      <c r="P26" s="6"/>
      <c r="Q26" s="6"/>
      <c r="R26" s="6"/>
      <c r="S26" s="6"/>
      <c r="T26" s="6"/>
      <c r="U26" s="6"/>
      <c r="V26" s="6"/>
      <c r="W26" s="6"/>
      <c r="X26" s="6"/>
      <c r="Y26" s="6"/>
      <c r="Z26" s="6"/>
      <c r="AA26" s="6"/>
      <c r="AB26" s="6"/>
      <c r="AC26" s="6"/>
      <c r="AM26" s="6"/>
      <c r="AN26" s="6"/>
      <c r="AO26" s="6"/>
      <c r="AP26" s="221">
        <v>18</v>
      </c>
      <c r="AQ26" s="168" t="str">
        <f t="shared" si="19"/>
        <v/>
      </c>
      <c r="AR26" s="171" t="b">
        <f t="shared" si="20"/>
        <v>0</v>
      </c>
    </row>
    <row r="27" spans="1:44" ht="14.45" customHeight="1" thickBot="1" x14ac:dyDescent="0.3">
      <c r="B27" s="374" t="s">
        <v>965</v>
      </c>
      <c r="C27" s="375"/>
      <c r="D27" s="376"/>
      <c r="E27" s="353">
        <f>1150000-E37</f>
        <v>1150000</v>
      </c>
      <c r="F27" s="354"/>
      <c r="G27" s="355"/>
      <c r="H27" s="127"/>
      <c r="I27" s="127"/>
      <c r="J27" s="230" t="s">
        <v>623</v>
      </c>
      <c r="K27" s="6"/>
      <c r="L27" s="362" t="s">
        <v>955</v>
      </c>
      <c r="M27" s="363"/>
      <c r="N27" s="363"/>
      <c r="O27" s="364"/>
      <c r="P27" s="6"/>
      <c r="Q27" s="6"/>
      <c r="R27" s="212" t="s">
        <v>922</v>
      </c>
      <c r="S27" s="213"/>
      <c r="T27" s="213"/>
      <c r="U27" s="213"/>
      <c r="V27" s="214"/>
      <c r="W27" s="214"/>
      <c r="X27" s="214"/>
      <c r="Y27" s="215"/>
      <c r="Z27" s="6"/>
      <c r="AA27" s="6"/>
      <c r="AB27" s="6"/>
      <c r="AC27" s="6"/>
      <c r="AM27" s="6"/>
      <c r="AN27" s="6"/>
      <c r="AO27" s="6"/>
      <c r="AP27" s="221">
        <v>19</v>
      </c>
      <c r="AQ27" s="168" t="str">
        <f t="shared" si="19"/>
        <v/>
      </c>
      <c r="AR27" s="171" t="b">
        <f t="shared" si="20"/>
        <v>0</v>
      </c>
    </row>
    <row r="28" spans="1:44" ht="15" customHeight="1" x14ac:dyDescent="0.25">
      <c r="B28" s="131">
        <v>0</v>
      </c>
      <c r="C28" s="253" t="s">
        <v>11</v>
      </c>
      <c r="D28" s="255">
        <v>10000</v>
      </c>
      <c r="E28" s="328">
        <f>B28*D28</f>
        <v>0</v>
      </c>
      <c r="F28" s="328"/>
      <c r="G28" s="329"/>
      <c r="H28" s="127"/>
      <c r="I28" s="127"/>
      <c r="J28" s="379" t="str">
        <f>IFERROR(VLOOKUP(AH8,Special_Rules,2,TRUE),"")</f>
        <v/>
      </c>
      <c r="K28" s="6"/>
      <c r="L28" s="365" t="str">
        <f>IFERROR(VLOOKUP(C24,StarplayerList,10,FALSE),"") &amp; " " &amp; CHAR(10) &amp;
IFERROR(VLOOKUP(C25,StarplayerList,10,FALSE),"")</f>
        <v xml:space="preserve"> 
</v>
      </c>
      <c r="M28" s="366"/>
      <c r="N28" s="366"/>
      <c r="O28" s="367"/>
      <c r="P28" s="6"/>
      <c r="Q28" s="6"/>
      <c r="R28" s="282" t="s">
        <v>921</v>
      </c>
      <c r="S28" s="281"/>
      <c r="T28" s="283" t="s">
        <v>932</v>
      </c>
      <c r="U28" s="284" t="str">
        <f>J2</f>
        <v>Select Skill Pack</v>
      </c>
      <c r="V28" s="285"/>
      <c r="W28" s="285"/>
      <c r="X28" s="285"/>
      <c r="Y28" s="286"/>
      <c r="Z28" s="6"/>
      <c r="AA28" s="6"/>
      <c r="AB28" s="6"/>
      <c r="AC28" s="6"/>
      <c r="AM28" s="6"/>
      <c r="AN28" s="6"/>
      <c r="AO28" s="6"/>
      <c r="AP28" s="221">
        <v>20</v>
      </c>
      <c r="AQ28" s="168" t="str">
        <f t="shared" si="19"/>
        <v/>
      </c>
      <c r="AR28" s="171" t="b">
        <f t="shared" si="20"/>
        <v>0</v>
      </c>
    </row>
    <row r="29" spans="1:44" ht="14.45" customHeight="1" x14ac:dyDescent="0.25">
      <c r="B29" s="129">
        <v>0</v>
      </c>
      <c r="C29" s="254" t="s">
        <v>12</v>
      </c>
      <c r="D29" s="255">
        <f>1000*IFERROR(VLOOKUP($D$2,Teams!B2:F31,5,FALSE),0)</f>
        <v>0</v>
      </c>
      <c r="E29" s="326">
        <f>B29*D29</f>
        <v>0</v>
      </c>
      <c r="F29" s="326"/>
      <c r="G29" s="327"/>
      <c r="H29" s="127"/>
      <c r="I29" s="127"/>
      <c r="J29" s="380"/>
      <c r="K29" s="227"/>
      <c r="L29" s="368"/>
      <c r="M29" s="369"/>
      <c r="N29" s="369"/>
      <c r="O29" s="370"/>
      <c r="P29" s="6"/>
      <c r="Q29" s="6"/>
      <c r="R29" s="207"/>
      <c r="S29" s="181"/>
      <c r="T29" s="208"/>
      <c r="U29" s="209" t="s">
        <v>925</v>
      </c>
      <c r="V29" s="209" t="s">
        <v>930</v>
      </c>
      <c r="W29" s="210" t="s">
        <v>926</v>
      </c>
      <c r="X29" s="208"/>
      <c r="Y29" s="181" t="e">
        <f>OR(Y30:Y32)</f>
        <v>#N/A</v>
      </c>
      <c r="Z29" s="6"/>
      <c r="AA29" s="6"/>
      <c r="AB29" s="6"/>
      <c r="AC29" s="6"/>
      <c r="AM29" s="6"/>
      <c r="AN29" s="6"/>
      <c r="AO29" s="6"/>
      <c r="AP29" s="221">
        <v>21</v>
      </c>
      <c r="AQ29" s="168" t="str">
        <f t="shared" si="19"/>
        <v/>
      </c>
      <c r="AR29" s="171" t="b">
        <f t="shared" si="20"/>
        <v>0</v>
      </c>
    </row>
    <row r="30" spans="1:44" ht="15" customHeight="1" x14ac:dyDescent="0.25">
      <c r="B30" s="129">
        <v>0</v>
      </c>
      <c r="C30" s="254" t="s">
        <v>13</v>
      </c>
      <c r="D30" s="255">
        <v>10000</v>
      </c>
      <c r="E30" s="326">
        <f>B30*D30</f>
        <v>0</v>
      </c>
      <c r="F30" s="326"/>
      <c r="G30" s="327"/>
      <c r="H30" s="127"/>
      <c r="I30" s="127"/>
      <c r="J30" s="381"/>
      <c r="K30" s="227"/>
      <c r="L30" s="368"/>
      <c r="M30" s="369"/>
      <c r="N30" s="369"/>
      <c r="O30" s="370"/>
      <c r="P30" s="6"/>
      <c r="Q30" s="6"/>
      <c r="R30" s="178" t="s">
        <v>920</v>
      </c>
      <c r="S30" s="181"/>
      <c r="T30" s="210" t="s">
        <v>306</v>
      </c>
      <c r="U30" s="203">
        <f>COUNTIF(L8:L23,"Primary Skill")</f>
        <v>0</v>
      </c>
      <c r="V30" s="203" t="e">
        <f>INDEX(Allowed_skills,MATCH(U28,Skill_Packs!B10:B37,0),2)</f>
        <v>#N/A</v>
      </c>
      <c r="W30" s="180" t="s">
        <v>967</v>
      </c>
      <c r="X30" s="180"/>
      <c r="Y30" s="181" t="e">
        <f>U30+U33&gt;SUM(V30:V31)</f>
        <v>#N/A</v>
      </c>
      <c r="Z30" s="6"/>
      <c r="AA30" s="6"/>
      <c r="AB30" s="6"/>
      <c r="AC30" s="6"/>
      <c r="AM30" s="6"/>
      <c r="AN30" s="6"/>
      <c r="AO30" s="6"/>
      <c r="AP30" s="221">
        <v>22</v>
      </c>
      <c r="AQ30" s="168" t="str">
        <f t="shared" si="19"/>
        <v/>
      </c>
      <c r="AR30" s="171" t="b">
        <f t="shared" si="20"/>
        <v>0</v>
      </c>
    </row>
    <row r="31" spans="1:44" ht="15" customHeight="1" x14ac:dyDescent="0.25">
      <c r="B31" s="129">
        <v>0</v>
      </c>
      <c r="C31" s="254" t="s">
        <v>14</v>
      </c>
      <c r="D31" s="255">
        <v>10000</v>
      </c>
      <c r="E31" s="326">
        <f>B31*D31</f>
        <v>0</v>
      </c>
      <c r="F31" s="326"/>
      <c r="G31" s="327"/>
      <c r="H31" s="127"/>
      <c r="I31" s="127"/>
      <c r="J31" s="380" t="str">
        <f>IFERROR(IFERROR(VLOOKUP(LEFT($AH$8,3),SpecialRules,3,FALSE),"") &amp; IFERROR(VLOOKUP(MID($AH$8,4,3),SpecialRules,3,FALSE),""),"")</f>
        <v/>
      </c>
      <c r="K31" s="227"/>
      <c r="L31" s="368"/>
      <c r="M31" s="369"/>
      <c r="N31" s="369"/>
      <c r="O31" s="370"/>
      <c r="P31" s="6"/>
      <c r="Q31" s="6"/>
      <c r="R31" s="178" t="s">
        <v>919</v>
      </c>
      <c r="S31" s="181"/>
      <c r="T31" s="210" t="s">
        <v>307</v>
      </c>
      <c r="U31" s="203">
        <f>COUNTIF(L8:L23,"Secondary Skill")</f>
        <v>0</v>
      </c>
      <c r="V31" s="203" t="e">
        <f>INDEX(Allowed_skills,MATCH(U28,Skill_Packs!B10:B37,0),3)</f>
        <v>#N/A</v>
      </c>
      <c r="W31" s="180" t="s">
        <v>968</v>
      </c>
      <c r="X31" s="180"/>
      <c r="Y31" s="181" t="e">
        <f>AND(U30+U33=SUM(V30:V31), SUM(U31:U32)&gt;0)</f>
        <v>#N/A</v>
      </c>
      <c r="Z31" s="6"/>
      <c r="AA31" s="6"/>
      <c r="AB31" s="6"/>
      <c r="AC31" s="6"/>
      <c r="AM31" s="6"/>
      <c r="AN31" s="6"/>
      <c r="AO31" s="6"/>
      <c r="AP31" s="221">
        <v>23</v>
      </c>
      <c r="AQ31" s="168" t="str">
        <f t="shared" si="19"/>
        <v/>
      </c>
      <c r="AR31" s="171" t="b">
        <f t="shared" si="20"/>
        <v>0</v>
      </c>
    </row>
    <row r="32" spans="1:44" ht="15" customHeight="1" x14ac:dyDescent="0.25">
      <c r="B32" s="129">
        <v>0</v>
      </c>
      <c r="C32" s="254" t="s">
        <v>817</v>
      </c>
      <c r="D32" s="255">
        <v>50000</v>
      </c>
      <c r="E32" s="326">
        <f t="shared" ref="E32:E34" si="22">B32*D32</f>
        <v>0</v>
      </c>
      <c r="F32" s="326"/>
      <c r="G32" s="327"/>
      <c r="H32" s="87"/>
      <c r="I32" s="87"/>
      <c r="J32" s="380"/>
      <c r="K32" s="227"/>
      <c r="L32" s="368"/>
      <c r="M32" s="369"/>
      <c r="N32" s="369"/>
      <c r="O32" s="370"/>
      <c r="P32" s="6"/>
      <c r="Q32" s="6"/>
      <c r="R32" s="178" t="s">
        <v>933</v>
      </c>
      <c r="S32" s="181"/>
      <c r="T32" s="210" t="s">
        <v>923</v>
      </c>
      <c r="U32" s="203">
        <f>COUNTIF(N8:N23,"Primary Skill")</f>
        <v>0</v>
      </c>
      <c r="V32" s="203"/>
      <c r="W32" s="180" t="s">
        <v>969</v>
      </c>
      <c r="X32" s="180"/>
      <c r="Y32" s="181" t="e">
        <f>SUM(U31:U32)&gt;V31</f>
        <v>#N/A</v>
      </c>
      <c r="Z32" s="6"/>
      <c r="AA32" s="6"/>
      <c r="AB32" s="6"/>
      <c r="AC32" s="6"/>
      <c r="AM32" s="6"/>
      <c r="AN32" s="6"/>
      <c r="AO32" s="6"/>
      <c r="AP32" s="221">
        <v>24</v>
      </c>
      <c r="AQ32" s="168" t="str">
        <f t="shared" si="19"/>
        <v/>
      </c>
      <c r="AR32" s="171" t="b">
        <f t="shared" si="20"/>
        <v>0</v>
      </c>
    </row>
    <row r="33" spans="1:44" x14ac:dyDescent="0.25">
      <c r="B33" s="129">
        <v>0</v>
      </c>
      <c r="C33" s="254" t="s">
        <v>818</v>
      </c>
      <c r="D33" s="255">
        <f>AH14</f>
        <v>100000</v>
      </c>
      <c r="E33" s="326">
        <f t="shared" si="22"/>
        <v>0</v>
      </c>
      <c r="F33" s="326"/>
      <c r="G33" s="327"/>
      <c r="H33" s="87"/>
      <c r="I33" s="87"/>
      <c r="J33" s="380"/>
      <c r="K33" s="227"/>
      <c r="L33" s="368"/>
      <c r="M33" s="369"/>
      <c r="N33" s="369"/>
      <c r="O33" s="370"/>
      <c r="P33" s="6"/>
      <c r="Q33" s="6"/>
      <c r="R33" s="204"/>
      <c r="S33" s="200"/>
      <c r="T33" s="211" t="s">
        <v>966</v>
      </c>
      <c r="U33" s="205">
        <f>IFERROR(VLOOKUP(C24,StarplayerList,13,FALSE),0) + IFERROR(VLOOKUP(C25,StarplayerList,13,FALSE),0)</f>
        <v>0</v>
      </c>
      <c r="V33" s="205"/>
      <c r="W33" s="182"/>
      <c r="X33" s="182"/>
      <c r="Y33" s="200"/>
      <c r="Z33" s="6"/>
      <c r="AA33" s="6"/>
      <c r="AB33" s="6"/>
      <c r="AC33" s="6"/>
      <c r="AM33" s="6"/>
      <c r="AN33" s="6"/>
      <c r="AO33" s="6"/>
      <c r="AP33" s="221">
        <v>25</v>
      </c>
      <c r="AQ33" s="168" t="str">
        <f t="shared" si="19"/>
        <v/>
      </c>
      <c r="AR33" s="171" t="b">
        <f t="shared" si="20"/>
        <v>0</v>
      </c>
    </row>
    <row r="34" spans="1:44" x14ac:dyDescent="0.25">
      <c r="B34" s="129">
        <v>0</v>
      </c>
      <c r="C34" s="254" t="s">
        <v>819</v>
      </c>
      <c r="D34" s="255">
        <f>AH13</f>
        <v>300000</v>
      </c>
      <c r="E34" s="326">
        <f t="shared" si="22"/>
        <v>0</v>
      </c>
      <c r="F34" s="326"/>
      <c r="G34" s="327"/>
      <c r="H34" s="87"/>
      <c r="I34" s="87"/>
      <c r="J34" s="380"/>
      <c r="K34" s="227"/>
      <c r="L34" s="368"/>
      <c r="M34" s="369"/>
      <c r="N34" s="369"/>
      <c r="O34" s="370"/>
      <c r="P34" s="6"/>
      <c r="Q34" s="16"/>
      <c r="R34" s="6"/>
      <c r="S34" s="6"/>
      <c r="T34" s="6"/>
      <c r="U34" s="6"/>
      <c r="V34" s="6"/>
      <c r="W34" s="6"/>
      <c r="X34" s="6"/>
      <c r="Y34" s="6"/>
      <c r="Z34" s="6"/>
      <c r="AA34" s="6"/>
      <c r="AB34" s="6"/>
      <c r="AC34" s="6"/>
      <c r="AM34" s="6"/>
      <c r="AN34" s="6"/>
      <c r="AO34" s="6"/>
      <c r="AP34" s="221">
        <v>26</v>
      </c>
      <c r="AQ34" s="168" t="str">
        <f t="shared" si="19"/>
        <v/>
      </c>
      <c r="AR34" s="171" t="b">
        <f t="shared" si="20"/>
        <v>0</v>
      </c>
    </row>
    <row r="35" spans="1:44" x14ac:dyDescent="0.25">
      <c r="B35" s="129">
        <v>0</v>
      </c>
      <c r="C35" s="254" t="s">
        <v>816</v>
      </c>
      <c r="D35" s="255" t="s">
        <v>815</v>
      </c>
      <c r="E35" s="326">
        <f>IF(B35&lt;1,B35*50000,(B35-1)*100000+50000)</f>
        <v>0</v>
      </c>
      <c r="F35" s="326"/>
      <c r="G35" s="327"/>
      <c r="H35" s="87"/>
      <c r="I35" s="87"/>
      <c r="J35" s="380"/>
      <c r="K35" s="227"/>
      <c r="L35" s="368"/>
      <c r="M35" s="369"/>
      <c r="N35" s="369"/>
      <c r="O35" s="370"/>
      <c r="P35" s="6"/>
      <c r="Q35" s="6"/>
      <c r="R35" s="212" t="s">
        <v>934</v>
      </c>
      <c r="S35" s="214"/>
      <c r="T35" s="223"/>
      <c r="U35" s="214"/>
      <c r="V35" s="214"/>
      <c r="W35" s="223"/>
      <c r="X35" s="214"/>
      <c r="Y35" s="214"/>
      <c r="Z35" s="223"/>
      <c r="AA35" s="214"/>
      <c r="AB35" s="214"/>
      <c r="AC35" s="223"/>
      <c r="AD35" s="214"/>
      <c r="AE35" s="214"/>
      <c r="AF35" s="214"/>
      <c r="AG35" s="214"/>
      <c r="AH35" s="214"/>
      <c r="AI35" s="214"/>
      <c r="AJ35" s="214"/>
      <c r="AK35" s="214"/>
      <c r="AL35" s="214"/>
      <c r="AM35" s="214"/>
      <c r="AN35" s="215"/>
      <c r="AO35" s="6"/>
      <c r="AP35" s="221">
        <v>27</v>
      </c>
      <c r="AQ35" s="168" t="str">
        <f t="shared" si="19"/>
        <v/>
      </c>
      <c r="AR35" s="171" t="b">
        <f t="shared" si="20"/>
        <v>0</v>
      </c>
    </row>
    <row r="36" spans="1:44" ht="15.75" thickBot="1" x14ac:dyDescent="0.3">
      <c r="B36" s="288">
        <v>0</v>
      </c>
      <c r="C36" s="289" t="str">
        <f>AH12</f>
        <v/>
      </c>
      <c r="D36" s="290">
        <v>100000</v>
      </c>
      <c r="E36" s="383">
        <f>B36*D36</f>
        <v>0</v>
      </c>
      <c r="F36" s="383"/>
      <c r="G36" s="384"/>
      <c r="H36" s="87"/>
      <c r="J36" s="380"/>
      <c r="K36" s="6"/>
      <c r="L36" s="368"/>
      <c r="M36" s="369"/>
      <c r="N36" s="369"/>
      <c r="O36" s="370"/>
      <c r="P36" s="6"/>
      <c r="Q36" s="6"/>
      <c r="R36" s="178" t="s">
        <v>931</v>
      </c>
      <c r="S36" s="180" t="s">
        <v>28</v>
      </c>
      <c r="T36" s="188" t="s">
        <v>7</v>
      </c>
      <c r="U36" s="180" t="s">
        <v>118</v>
      </c>
      <c r="V36" s="180" t="s">
        <v>295</v>
      </c>
      <c r="W36" s="188" t="s">
        <v>299</v>
      </c>
      <c r="X36" s="180" t="s">
        <v>304</v>
      </c>
      <c r="Y36" s="180" t="s">
        <v>296</v>
      </c>
      <c r="Z36" s="188" t="s">
        <v>308</v>
      </c>
      <c r="AA36" s="180" t="s">
        <v>309</v>
      </c>
      <c r="AB36" s="180" t="s">
        <v>29</v>
      </c>
      <c r="AC36" s="188" t="s">
        <v>303</v>
      </c>
      <c r="AD36" s="180" t="s">
        <v>302</v>
      </c>
      <c r="AE36" s="180" t="s">
        <v>294</v>
      </c>
      <c r="AF36" s="188" t="s">
        <v>300</v>
      </c>
      <c r="AG36" s="180" t="s">
        <v>297</v>
      </c>
      <c r="AH36" s="180" t="s">
        <v>293</v>
      </c>
      <c r="AI36" s="180" t="s">
        <v>298</v>
      </c>
      <c r="AJ36" s="188" t="s">
        <v>310</v>
      </c>
      <c r="AK36" s="180" t="s">
        <v>301</v>
      </c>
      <c r="AL36" s="180" t="s">
        <v>32</v>
      </c>
      <c r="AM36" s="180" t="s">
        <v>670</v>
      </c>
      <c r="AN36" s="181" t="s">
        <v>31</v>
      </c>
      <c r="AO36" s="6"/>
      <c r="AP36" s="221">
        <v>28</v>
      </c>
      <c r="AQ36" s="168" t="str">
        <f t="shared" si="19"/>
        <v/>
      </c>
      <c r="AR36" s="171" t="b">
        <f t="shared" si="20"/>
        <v>0</v>
      </c>
    </row>
    <row r="37" spans="1:44" ht="15.75" thickBot="1" x14ac:dyDescent="0.3">
      <c r="B37" s="374" t="s">
        <v>804</v>
      </c>
      <c r="C37" s="375"/>
      <c r="D37" s="376"/>
      <c r="E37" s="377">
        <f>SUM(K8:K25)+SUM(E28:G36)</f>
        <v>0</v>
      </c>
      <c r="F37" s="377"/>
      <c r="G37" s="378"/>
      <c r="H37" s="87"/>
      <c r="I37" s="87"/>
      <c r="J37" s="382"/>
      <c r="K37" s="6"/>
      <c r="L37" s="371"/>
      <c r="M37" s="372"/>
      <c r="N37" s="372"/>
      <c r="O37" s="373"/>
      <c r="P37" s="6"/>
      <c r="Q37" s="6"/>
      <c r="R37" s="178" t="str">
        <f>CONCATENATE(ADDRESS(ROW()+1,COLUMN()),":",ADDRESS(ROW()+15,COLUMN()))</f>
        <v>$R$38:$R$52</v>
      </c>
      <c r="S37" s="180" t="str">
        <f>CONCATENATE(ADDRESS(ROW()+1,COLUMN()),":",ADDRESS(ROW()+40,COLUMN()))</f>
        <v>$S$38:$S$77</v>
      </c>
      <c r="T37" s="180" t="str">
        <f t="shared" ref="T37:AN37" si="23">CONCATENATE(ADDRESS(ROW()+1,COLUMN()),":",ADDRESS(ROW()+40,COLUMN()))</f>
        <v>$T$38:$T$77</v>
      </c>
      <c r="U37" s="180" t="str">
        <f t="shared" si="23"/>
        <v>$U$38:$U$77</v>
      </c>
      <c r="V37" s="180" t="str">
        <f t="shared" si="23"/>
        <v>$V$38:$V$77</v>
      </c>
      <c r="W37" s="180" t="str">
        <f t="shared" si="23"/>
        <v>$W$38:$W$77</v>
      </c>
      <c r="X37" s="180" t="str">
        <f t="shared" si="23"/>
        <v>$X$38:$X$77</v>
      </c>
      <c r="Y37" s="180" t="str">
        <f t="shared" si="23"/>
        <v>$Y$38:$Y$77</v>
      </c>
      <c r="Z37" s="180" t="str">
        <f t="shared" si="23"/>
        <v>$Z$38:$Z$77</v>
      </c>
      <c r="AA37" s="180" t="str">
        <f t="shared" si="23"/>
        <v>$AA$38:$AA$77</v>
      </c>
      <c r="AB37" s="180" t="str">
        <f t="shared" si="23"/>
        <v>$AB$38:$AB$77</v>
      </c>
      <c r="AC37" s="180" t="str">
        <f t="shared" si="23"/>
        <v>$AC$38:$AC$77</v>
      </c>
      <c r="AD37" s="180" t="str">
        <f t="shared" si="23"/>
        <v>$AD$38:$AD$77</v>
      </c>
      <c r="AE37" s="180" t="str">
        <f t="shared" si="23"/>
        <v>$AE$38:$AE$77</v>
      </c>
      <c r="AF37" s="180" t="str">
        <f t="shared" si="23"/>
        <v>$AF$38:$AF$77</v>
      </c>
      <c r="AG37" s="180" t="str">
        <f t="shared" si="23"/>
        <v>$AG$38:$AG$77</v>
      </c>
      <c r="AH37" s="180" t="str">
        <f t="shared" si="23"/>
        <v>$AH$38:$AH$77</v>
      </c>
      <c r="AI37" s="180" t="str">
        <f t="shared" si="23"/>
        <v>$AI$38:$AI$77</v>
      </c>
      <c r="AJ37" s="180" t="str">
        <f t="shared" si="23"/>
        <v>$AJ$38:$AJ$77</v>
      </c>
      <c r="AK37" s="180" t="str">
        <f t="shared" si="23"/>
        <v>$AK$38:$AK$77</v>
      </c>
      <c r="AL37" s="180" t="str">
        <f t="shared" si="23"/>
        <v>$AL$38:$AL$77</v>
      </c>
      <c r="AM37" s="180" t="str">
        <f t="shared" si="23"/>
        <v>$AM$38:$AM$77</v>
      </c>
      <c r="AN37" s="181" t="str">
        <f t="shared" si="23"/>
        <v>$AN$38:$AN$77</v>
      </c>
      <c r="AO37" s="6"/>
      <c r="AP37" s="221">
        <v>29</v>
      </c>
      <c r="AQ37" s="168" t="str">
        <f t="shared" si="19"/>
        <v/>
      </c>
      <c r="AR37" s="171" t="b">
        <f t="shared" si="20"/>
        <v>0</v>
      </c>
    </row>
    <row r="38" spans="1:44" ht="30" customHeight="1" x14ac:dyDescent="0.25">
      <c r="B38" s="22"/>
      <c r="C38" s="6"/>
      <c r="D38" s="6"/>
      <c r="E38" s="87"/>
      <c r="F38" s="87"/>
      <c r="G38" s="87"/>
      <c r="H38" s="87"/>
      <c r="I38" s="87"/>
      <c r="J38" s="6"/>
      <c r="K38" s="6"/>
      <c r="L38" s="227"/>
      <c r="M38" s="6"/>
      <c r="N38" s="6"/>
      <c r="O38" s="6"/>
      <c r="P38" s="6"/>
      <c r="Q38" s="6"/>
      <c r="R38" s="178"/>
      <c r="S38" s="180"/>
      <c r="T38" s="180"/>
      <c r="U38" s="180"/>
      <c r="V38" s="180"/>
      <c r="W38" s="180"/>
      <c r="X38" s="180"/>
      <c r="Y38" s="180"/>
      <c r="Z38" s="180"/>
      <c r="AA38" s="180"/>
      <c r="AB38" s="180"/>
      <c r="AC38" s="180"/>
      <c r="AD38" s="180"/>
      <c r="AE38" s="180"/>
      <c r="AF38" s="180"/>
      <c r="AG38" s="180"/>
      <c r="AH38" s="180"/>
      <c r="AI38" s="180"/>
      <c r="AJ38" s="180"/>
      <c r="AK38" s="180"/>
      <c r="AL38" s="180"/>
      <c r="AM38" s="180"/>
      <c r="AN38" s="181"/>
      <c r="AO38" s="6"/>
      <c r="AP38" s="222">
        <v>30</v>
      </c>
      <c r="AQ38" s="173" t="str">
        <f t="shared" si="19"/>
        <v/>
      </c>
      <c r="AR38" s="174" t="b">
        <f t="shared" si="20"/>
        <v>0</v>
      </c>
    </row>
    <row r="39" spans="1:44" ht="60" customHeight="1" x14ac:dyDescent="0.25">
      <c r="A39"/>
      <c r="B39" s="358" t="str">
        <f>IF(D4&lt;&gt;"",D4 &amp; IF(D5&lt;&gt;""," (" &amp; D5 &amp; ")",""),"") &amp; IF(D3&lt;&gt;""," - " &amp; D3,"") &amp; IF(AND(D2&lt;&gt;"",D2&lt;&gt;"Select Team")," [" &amp; D2 &amp; "]","")</f>
        <v/>
      </c>
      <c r="C39" s="358"/>
      <c r="D39" s="358"/>
      <c r="E39" s="358"/>
      <c r="F39" s="358"/>
      <c r="G39" s="358"/>
      <c r="H39" s="358"/>
      <c r="I39" s="358"/>
      <c r="J39" s="358"/>
      <c r="K39" s="358"/>
      <c r="L39" s="358"/>
      <c r="M39" s="358"/>
      <c r="N39" s="358"/>
      <c r="O39" s="358"/>
      <c r="P39" s="6"/>
      <c r="Q39"/>
      <c r="R39" s="207" t="s">
        <v>807</v>
      </c>
      <c r="S39" s="224" t="s">
        <v>33</v>
      </c>
      <c r="T39" s="224" t="s">
        <v>33</v>
      </c>
      <c r="U39" s="224" t="s">
        <v>33</v>
      </c>
      <c r="V39" s="224" t="s">
        <v>33</v>
      </c>
      <c r="W39" s="224" t="s">
        <v>33</v>
      </c>
      <c r="X39" s="224" t="s">
        <v>33</v>
      </c>
      <c r="Y39" s="224" t="s">
        <v>33</v>
      </c>
      <c r="Z39" s="224" t="s">
        <v>33</v>
      </c>
      <c r="AA39" s="224" t="s">
        <v>33</v>
      </c>
      <c r="AB39" s="224" t="s">
        <v>45</v>
      </c>
      <c r="AC39" s="224" t="s">
        <v>45</v>
      </c>
      <c r="AD39" s="224" t="s">
        <v>45</v>
      </c>
      <c r="AE39" s="224" t="s">
        <v>45</v>
      </c>
      <c r="AF39" s="224" t="s">
        <v>45</v>
      </c>
      <c r="AG39" s="224" t="s">
        <v>45</v>
      </c>
      <c r="AH39" s="224" t="s">
        <v>45</v>
      </c>
      <c r="AI39" s="224" t="s">
        <v>57</v>
      </c>
      <c r="AJ39" s="224" t="s">
        <v>57</v>
      </c>
      <c r="AK39" s="224" t="s">
        <v>68</v>
      </c>
      <c r="AL39" s="224" t="s">
        <v>80</v>
      </c>
      <c r="AM39" s="224" t="s">
        <v>33</v>
      </c>
      <c r="AN39" s="225" t="s">
        <v>68</v>
      </c>
      <c r="AO39" s="6"/>
      <c r="AP39" s="6"/>
      <c r="AQ39" s="6"/>
      <c r="AR39" s="6"/>
    </row>
    <row r="40" spans="1:44" ht="60" customHeight="1" x14ac:dyDescent="0.25">
      <c r="A40"/>
      <c r="B40" s="359" t="str">
        <f>IF(AND(SquadName&lt;&gt;"",SquadName&lt;&gt;"Enter Squad Name"),"Squad "&amp; SquadName,"")</f>
        <v/>
      </c>
      <c r="C40" s="359"/>
      <c r="D40" s="359"/>
      <c r="E40" s="359"/>
      <c r="F40" s="359"/>
      <c r="G40" s="359"/>
      <c r="H40" s="359"/>
      <c r="I40" s="359"/>
      <c r="J40" s="359"/>
      <c r="K40" s="359"/>
      <c r="L40" s="359"/>
      <c r="M40" s="359"/>
      <c r="N40" s="359"/>
      <c r="O40" s="359"/>
      <c r="Q40"/>
      <c r="R40" s="207" t="s">
        <v>808</v>
      </c>
      <c r="S40" s="224" t="s">
        <v>34</v>
      </c>
      <c r="T40" s="224" t="s">
        <v>34</v>
      </c>
      <c r="U40" s="224" t="s">
        <v>34</v>
      </c>
      <c r="V40" s="224" t="s">
        <v>34</v>
      </c>
      <c r="W40" s="224" t="s">
        <v>34</v>
      </c>
      <c r="X40" s="224" t="s">
        <v>34</v>
      </c>
      <c r="Y40" s="224" t="s">
        <v>34</v>
      </c>
      <c r="Z40" s="224" t="s">
        <v>34</v>
      </c>
      <c r="AA40" s="224" t="s">
        <v>34</v>
      </c>
      <c r="AB40" s="224" t="s">
        <v>46</v>
      </c>
      <c r="AC40" s="224" t="s">
        <v>46</v>
      </c>
      <c r="AD40" s="224" t="s">
        <v>46</v>
      </c>
      <c r="AE40" s="224" t="s">
        <v>46</v>
      </c>
      <c r="AF40" s="224" t="s">
        <v>46</v>
      </c>
      <c r="AG40" s="224" t="s">
        <v>46</v>
      </c>
      <c r="AH40" s="224" t="s">
        <v>46</v>
      </c>
      <c r="AI40" s="224" t="s">
        <v>58</v>
      </c>
      <c r="AJ40" s="224" t="s">
        <v>58</v>
      </c>
      <c r="AK40" s="224" t="s">
        <v>69</v>
      </c>
      <c r="AL40" s="224" t="s">
        <v>81</v>
      </c>
      <c r="AM40" s="224" t="s">
        <v>34</v>
      </c>
      <c r="AN40" s="225" t="s">
        <v>69</v>
      </c>
      <c r="AO40" s="6"/>
      <c r="AP40" s="6"/>
      <c r="AQ40" s="6"/>
      <c r="AR40" s="6"/>
    </row>
    <row r="41" spans="1:44" ht="14.25" customHeight="1" x14ac:dyDescent="0.25">
      <c r="B41" s="22"/>
      <c r="C41" s="247"/>
      <c r="D41" s="247"/>
      <c r="E41" s="247"/>
      <c r="F41" s="247"/>
      <c r="G41" s="247"/>
      <c r="H41" s="247"/>
      <c r="I41" s="247"/>
      <c r="J41" s="247"/>
      <c r="K41" s="247"/>
      <c r="L41" s="247"/>
      <c r="M41" s="247"/>
      <c r="N41" s="247"/>
      <c r="O41" s="247"/>
      <c r="P41" s="6"/>
      <c r="Q41"/>
      <c r="R41" s="207" t="s">
        <v>809</v>
      </c>
      <c r="S41" s="224" t="s">
        <v>35</v>
      </c>
      <c r="T41" s="224" t="s">
        <v>35</v>
      </c>
      <c r="U41" s="224" t="s">
        <v>35</v>
      </c>
      <c r="V41" s="224" t="s">
        <v>35</v>
      </c>
      <c r="W41" s="224" t="s">
        <v>35</v>
      </c>
      <c r="X41" s="224" t="s">
        <v>35</v>
      </c>
      <c r="Y41" s="224" t="s">
        <v>35</v>
      </c>
      <c r="Z41" s="224" t="s">
        <v>35</v>
      </c>
      <c r="AA41" s="224" t="s">
        <v>35</v>
      </c>
      <c r="AB41" s="224" t="s">
        <v>47</v>
      </c>
      <c r="AC41" s="224" t="s">
        <v>47</v>
      </c>
      <c r="AD41" s="224" t="s">
        <v>47</v>
      </c>
      <c r="AE41" s="224" t="s">
        <v>47</v>
      </c>
      <c r="AF41" s="224" t="s">
        <v>47</v>
      </c>
      <c r="AG41" s="224" t="s">
        <v>47</v>
      </c>
      <c r="AH41" s="224" t="s">
        <v>47</v>
      </c>
      <c r="AI41" s="224" t="s">
        <v>59</v>
      </c>
      <c r="AJ41" s="224" t="s">
        <v>59</v>
      </c>
      <c r="AK41" s="224" t="s">
        <v>70</v>
      </c>
      <c r="AL41" s="224" t="s">
        <v>82</v>
      </c>
      <c r="AM41" s="224" t="s">
        <v>35</v>
      </c>
      <c r="AN41" s="225" t="s">
        <v>70</v>
      </c>
      <c r="AO41" s="6"/>
      <c r="AP41" s="6"/>
      <c r="AQ41" s="6"/>
      <c r="AR41" s="6"/>
    </row>
    <row r="42" spans="1:44" ht="15" hidden="1" customHeight="1" x14ac:dyDescent="0.25">
      <c r="A42"/>
      <c r="B42" s="246"/>
      <c r="C42" s="246"/>
      <c r="D42" s="246"/>
      <c r="E42" s="246"/>
      <c r="F42" s="246"/>
      <c r="G42" s="246"/>
      <c r="H42" s="246"/>
      <c r="I42" s="246"/>
      <c r="J42" s="246"/>
      <c r="K42" s="246"/>
      <c r="L42" s="246"/>
      <c r="M42" s="246"/>
      <c r="N42" s="246"/>
      <c r="O42" s="246"/>
      <c r="Q42"/>
      <c r="R42" s="207" t="s">
        <v>810</v>
      </c>
      <c r="S42" s="224" t="s">
        <v>36</v>
      </c>
      <c r="T42" s="224" t="s">
        <v>36</v>
      </c>
      <c r="U42" s="224" t="s">
        <v>36</v>
      </c>
      <c r="V42" s="224" t="s">
        <v>36</v>
      </c>
      <c r="W42" s="224" t="s">
        <v>36</v>
      </c>
      <c r="X42" s="224" t="s">
        <v>36</v>
      </c>
      <c r="Y42" s="224" t="s">
        <v>36</v>
      </c>
      <c r="Z42" s="224" t="s">
        <v>36</v>
      </c>
      <c r="AA42" s="224" t="s">
        <v>36</v>
      </c>
      <c r="AB42" s="224" t="s">
        <v>48</v>
      </c>
      <c r="AC42" s="224" t="s">
        <v>48</v>
      </c>
      <c r="AD42" s="224" t="s">
        <v>48</v>
      </c>
      <c r="AE42" s="224" t="s">
        <v>48</v>
      </c>
      <c r="AF42" s="224" t="s">
        <v>48</v>
      </c>
      <c r="AG42" s="224" t="s">
        <v>48</v>
      </c>
      <c r="AH42" s="224" t="s">
        <v>48</v>
      </c>
      <c r="AI42" s="224" t="s">
        <v>60</v>
      </c>
      <c r="AJ42" s="224" t="s">
        <v>60</v>
      </c>
      <c r="AK42" s="224" t="s">
        <v>71</v>
      </c>
      <c r="AL42" s="224" t="s">
        <v>83</v>
      </c>
      <c r="AM42" s="224" t="s">
        <v>36</v>
      </c>
      <c r="AN42" s="225" t="s">
        <v>71</v>
      </c>
      <c r="AO42" s="6"/>
      <c r="AP42" s="6"/>
      <c r="AQ42" s="6"/>
      <c r="AR42" s="6"/>
    </row>
    <row r="43" spans="1:44" hidden="1" x14ac:dyDescent="0.25">
      <c r="A43"/>
      <c r="B43"/>
      <c r="E43"/>
      <c r="F43"/>
      <c r="G43"/>
      <c r="H43"/>
      <c r="I43"/>
      <c r="L43" s="6"/>
      <c r="Q43"/>
      <c r="R43" s="207"/>
      <c r="S43" s="224" t="s">
        <v>37</v>
      </c>
      <c r="T43" s="224" t="s">
        <v>37</v>
      </c>
      <c r="U43" s="224" t="s">
        <v>37</v>
      </c>
      <c r="V43" s="224" t="s">
        <v>37</v>
      </c>
      <c r="W43" s="224" t="s">
        <v>37</v>
      </c>
      <c r="X43" s="224" t="s">
        <v>37</v>
      </c>
      <c r="Y43" s="224" t="s">
        <v>37</v>
      </c>
      <c r="Z43" s="224" t="s">
        <v>37</v>
      </c>
      <c r="AA43" s="224" t="s">
        <v>37</v>
      </c>
      <c r="AB43" s="224" t="s">
        <v>49</v>
      </c>
      <c r="AC43" s="224" t="s">
        <v>49</v>
      </c>
      <c r="AD43" s="224" t="s">
        <v>49</v>
      </c>
      <c r="AE43" s="224" t="s">
        <v>49</v>
      </c>
      <c r="AF43" s="224" t="s">
        <v>49</v>
      </c>
      <c r="AG43" s="224" t="s">
        <v>49</v>
      </c>
      <c r="AH43" s="224" t="s">
        <v>49</v>
      </c>
      <c r="AI43" s="224" t="s">
        <v>61</v>
      </c>
      <c r="AJ43" s="224" t="s">
        <v>61</v>
      </c>
      <c r="AK43" s="224" t="s">
        <v>72</v>
      </c>
      <c r="AL43" s="224" t="s">
        <v>84</v>
      </c>
      <c r="AM43" s="224" t="s">
        <v>37</v>
      </c>
      <c r="AN43" s="225" t="s">
        <v>72</v>
      </c>
      <c r="AO43" s="6"/>
      <c r="AP43" s="6"/>
      <c r="AQ43" s="6"/>
      <c r="AR43" s="6"/>
    </row>
    <row r="44" spans="1:44" hidden="1" x14ac:dyDescent="0.25">
      <c r="A44"/>
      <c r="B44"/>
      <c r="E44"/>
      <c r="F44"/>
      <c r="G44"/>
      <c r="H44"/>
      <c r="I44"/>
      <c r="Q44"/>
      <c r="R44" s="207"/>
      <c r="S44" s="224" t="s">
        <v>38</v>
      </c>
      <c r="T44" s="224" t="s">
        <v>38</v>
      </c>
      <c r="U44" s="224" t="s">
        <v>38</v>
      </c>
      <c r="V44" s="224" t="s">
        <v>38</v>
      </c>
      <c r="W44" s="224" t="s">
        <v>38</v>
      </c>
      <c r="X44" s="224" t="s">
        <v>38</v>
      </c>
      <c r="Y44" s="224" t="s">
        <v>38</v>
      </c>
      <c r="Z44" s="224" t="s">
        <v>38</v>
      </c>
      <c r="AA44" s="224" t="s">
        <v>38</v>
      </c>
      <c r="AB44" s="224" t="s">
        <v>50</v>
      </c>
      <c r="AC44" s="224" t="s">
        <v>50</v>
      </c>
      <c r="AD44" s="224" t="s">
        <v>50</v>
      </c>
      <c r="AE44" s="224" t="s">
        <v>50</v>
      </c>
      <c r="AF44" s="224" t="s">
        <v>50</v>
      </c>
      <c r="AG44" s="224" t="s">
        <v>50</v>
      </c>
      <c r="AH44" s="224" t="s">
        <v>50</v>
      </c>
      <c r="AI44" s="224" t="s">
        <v>62</v>
      </c>
      <c r="AJ44" s="224" t="s">
        <v>62</v>
      </c>
      <c r="AK44" s="224" t="s">
        <v>73</v>
      </c>
      <c r="AL44" s="224" t="s">
        <v>85</v>
      </c>
      <c r="AM44" s="224" t="s">
        <v>38</v>
      </c>
      <c r="AN44" s="225" t="s">
        <v>73</v>
      </c>
      <c r="AO44" s="6"/>
      <c r="AP44" s="6"/>
      <c r="AQ44" s="6"/>
      <c r="AR44" s="6"/>
    </row>
    <row r="45" spans="1:44" hidden="1" x14ac:dyDescent="0.25">
      <c r="A45"/>
      <c r="B45"/>
      <c r="E45"/>
      <c r="F45"/>
      <c r="G45"/>
      <c r="H45"/>
      <c r="I45"/>
      <c r="Q45"/>
      <c r="R45" s="207"/>
      <c r="S45" s="224" t="s">
        <v>39</v>
      </c>
      <c r="T45" s="224" t="s">
        <v>39</v>
      </c>
      <c r="U45" s="224" t="s">
        <v>39</v>
      </c>
      <c r="V45" s="224" t="s">
        <v>39</v>
      </c>
      <c r="W45" s="224" t="s">
        <v>39</v>
      </c>
      <c r="X45" s="224" t="s">
        <v>39</v>
      </c>
      <c r="Y45" s="224" t="s">
        <v>39</v>
      </c>
      <c r="Z45" s="224" t="s">
        <v>39</v>
      </c>
      <c r="AA45" s="224" t="s">
        <v>39</v>
      </c>
      <c r="AB45" s="224" t="s">
        <v>51</v>
      </c>
      <c r="AC45" s="224" t="s">
        <v>51</v>
      </c>
      <c r="AD45" s="224" t="s">
        <v>51</v>
      </c>
      <c r="AE45" s="224" t="s">
        <v>51</v>
      </c>
      <c r="AF45" s="224" t="s">
        <v>51</v>
      </c>
      <c r="AG45" s="224" t="s">
        <v>51</v>
      </c>
      <c r="AH45" s="224" t="s">
        <v>51</v>
      </c>
      <c r="AI45" s="224" t="s">
        <v>63</v>
      </c>
      <c r="AJ45" s="224" t="s">
        <v>63</v>
      </c>
      <c r="AK45" s="224" t="s">
        <v>74</v>
      </c>
      <c r="AL45" s="224" t="s">
        <v>86</v>
      </c>
      <c r="AM45" s="224" t="s">
        <v>39</v>
      </c>
      <c r="AN45" s="225" t="s">
        <v>74</v>
      </c>
      <c r="AO45" s="6"/>
      <c r="AP45" s="6"/>
      <c r="AQ45" s="6"/>
      <c r="AR45" s="6"/>
    </row>
    <row r="46" spans="1:44" hidden="1" x14ac:dyDescent="0.25">
      <c r="A46"/>
      <c r="B46"/>
      <c r="E46"/>
      <c r="F46"/>
      <c r="G46"/>
      <c r="H46"/>
      <c r="I46"/>
      <c r="Q46"/>
      <c r="R46" s="207"/>
      <c r="S46" s="224" t="s">
        <v>40</v>
      </c>
      <c r="T46" s="224" t="s">
        <v>40</v>
      </c>
      <c r="U46" s="224" t="s">
        <v>40</v>
      </c>
      <c r="V46" s="224" t="s">
        <v>40</v>
      </c>
      <c r="W46" s="224" t="s">
        <v>40</v>
      </c>
      <c r="X46" s="224" t="s">
        <v>40</v>
      </c>
      <c r="Y46" s="224" t="s">
        <v>40</v>
      </c>
      <c r="Z46" s="224" t="s">
        <v>40</v>
      </c>
      <c r="AA46" s="224" t="s">
        <v>40</v>
      </c>
      <c r="AB46" s="224" t="s">
        <v>52</v>
      </c>
      <c r="AC46" s="224" t="s">
        <v>52</v>
      </c>
      <c r="AD46" s="224" t="s">
        <v>52</v>
      </c>
      <c r="AE46" s="224" t="s">
        <v>52</v>
      </c>
      <c r="AF46" s="224" t="s">
        <v>52</v>
      </c>
      <c r="AG46" s="224" t="s">
        <v>52</v>
      </c>
      <c r="AH46" s="224" t="s">
        <v>52</v>
      </c>
      <c r="AI46" s="224" t="s">
        <v>635</v>
      </c>
      <c r="AJ46" s="224" t="s">
        <v>635</v>
      </c>
      <c r="AK46" s="224" t="s">
        <v>75</v>
      </c>
      <c r="AL46" s="224" t="s">
        <v>87</v>
      </c>
      <c r="AM46" s="224" t="s">
        <v>40</v>
      </c>
      <c r="AN46" s="225" t="s">
        <v>75</v>
      </c>
      <c r="AO46" s="6"/>
      <c r="AP46" s="6"/>
      <c r="AQ46" s="6"/>
      <c r="AR46" s="6"/>
    </row>
    <row r="47" spans="1:44" hidden="1" x14ac:dyDescent="0.25">
      <c r="A47"/>
      <c r="B47"/>
      <c r="E47"/>
      <c r="F47"/>
      <c r="G47"/>
      <c r="H47"/>
      <c r="I47"/>
      <c r="Q47"/>
      <c r="R47" s="207"/>
      <c r="S47" s="224" t="s">
        <v>41</v>
      </c>
      <c r="T47" s="224" t="s">
        <v>41</v>
      </c>
      <c r="U47" s="224" t="s">
        <v>41</v>
      </c>
      <c r="V47" s="224" t="s">
        <v>41</v>
      </c>
      <c r="W47" s="224" t="s">
        <v>41</v>
      </c>
      <c r="X47" s="224" t="s">
        <v>41</v>
      </c>
      <c r="Y47" s="224" t="s">
        <v>41</v>
      </c>
      <c r="Z47" s="224" t="s">
        <v>41</v>
      </c>
      <c r="AA47" s="224" t="s">
        <v>41</v>
      </c>
      <c r="AB47" s="224" t="s">
        <v>53</v>
      </c>
      <c r="AC47" s="224" t="s">
        <v>53</v>
      </c>
      <c r="AD47" s="224" t="s">
        <v>53</v>
      </c>
      <c r="AE47" s="224" t="s">
        <v>53</v>
      </c>
      <c r="AF47" s="224" t="s">
        <v>53</v>
      </c>
      <c r="AG47" s="224" t="s">
        <v>53</v>
      </c>
      <c r="AH47" s="224" t="s">
        <v>53</v>
      </c>
      <c r="AI47" s="224" t="s">
        <v>65</v>
      </c>
      <c r="AJ47" s="224" t="s">
        <v>65</v>
      </c>
      <c r="AK47" s="224" t="s">
        <v>76</v>
      </c>
      <c r="AL47" s="224" t="s">
        <v>88</v>
      </c>
      <c r="AM47" s="224" t="s">
        <v>41</v>
      </c>
      <c r="AN47" s="225" t="s">
        <v>76</v>
      </c>
      <c r="AO47" s="6"/>
      <c r="AP47" s="6"/>
      <c r="AQ47" s="6"/>
      <c r="AR47" s="6"/>
    </row>
    <row r="48" spans="1:44" hidden="1" x14ac:dyDescent="0.25">
      <c r="A48"/>
      <c r="B48"/>
      <c r="E48"/>
      <c r="F48"/>
      <c r="G48"/>
      <c r="H48"/>
      <c r="I48"/>
      <c r="Q48"/>
      <c r="R48" s="207"/>
      <c r="S48" s="224" t="s">
        <v>42</v>
      </c>
      <c r="T48" s="224" t="s">
        <v>42</v>
      </c>
      <c r="U48" s="224" t="s">
        <v>42</v>
      </c>
      <c r="V48" s="224" t="s">
        <v>42</v>
      </c>
      <c r="W48" s="224" t="s">
        <v>42</v>
      </c>
      <c r="X48" s="224" t="s">
        <v>42</v>
      </c>
      <c r="Y48" s="224" t="s">
        <v>42</v>
      </c>
      <c r="Z48" s="224" t="s">
        <v>42</v>
      </c>
      <c r="AA48" s="224" t="s">
        <v>42</v>
      </c>
      <c r="AB48" s="224" t="s">
        <v>54</v>
      </c>
      <c r="AC48" s="224" t="s">
        <v>54</v>
      </c>
      <c r="AD48" s="224" t="s">
        <v>54</v>
      </c>
      <c r="AE48" s="224" t="s">
        <v>54</v>
      </c>
      <c r="AF48" s="224" t="s">
        <v>54</v>
      </c>
      <c r="AG48" s="224" t="s">
        <v>54</v>
      </c>
      <c r="AH48" s="224" t="s">
        <v>54</v>
      </c>
      <c r="AI48" s="224" t="s">
        <v>66</v>
      </c>
      <c r="AJ48" s="224" t="s">
        <v>66</v>
      </c>
      <c r="AK48" s="224" t="s">
        <v>77</v>
      </c>
      <c r="AL48" s="224" t="s">
        <v>89</v>
      </c>
      <c r="AM48" s="224" t="s">
        <v>42</v>
      </c>
      <c r="AN48" s="225" t="s">
        <v>77</v>
      </c>
      <c r="AO48" s="6"/>
      <c r="AP48" s="6"/>
      <c r="AQ48" s="6"/>
      <c r="AR48" s="6"/>
    </row>
    <row r="49" spans="1:44" hidden="1" x14ac:dyDescent="0.25">
      <c r="A49"/>
      <c r="B49"/>
      <c r="E49"/>
      <c r="F49"/>
      <c r="G49"/>
      <c r="H49"/>
      <c r="I49"/>
      <c r="Q49"/>
      <c r="R49" s="207"/>
      <c r="S49" s="224" t="s">
        <v>43</v>
      </c>
      <c r="T49" s="224" t="s">
        <v>43</v>
      </c>
      <c r="U49" s="224" t="s">
        <v>43</v>
      </c>
      <c r="V49" s="224" t="s">
        <v>43</v>
      </c>
      <c r="W49" s="224" t="s">
        <v>43</v>
      </c>
      <c r="X49" s="224" t="s">
        <v>43</v>
      </c>
      <c r="Y49" s="224" t="s">
        <v>43</v>
      </c>
      <c r="Z49" s="224" t="s">
        <v>43</v>
      </c>
      <c r="AA49" s="224" t="s">
        <v>43</v>
      </c>
      <c r="AB49" s="224" t="s">
        <v>55</v>
      </c>
      <c r="AC49" s="224" t="s">
        <v>55</v>
      </c>
      <c r="AD49" s="224" t="s">
        <v>55</v>
      </c>
      <c r="AE49" s="224" t="s">
        <v>55</v>
      </c>
      <c r="AF49" s="224" t="s">
        <v>55</v>
      </c>
      <c r="AG49" s="224" t="s">
        <v>55</v>
      </c>
      <c r="AH49" s="224" t="s">
        <v>55</v>
      </c>
      <c r="AI49" s="224" t="s">
        <v>67</v>
      </c>
      <c r="AJ49" s="224" t="s">
        <v>67</v>
      </c>
      <c r="AK49" s="224" t="s">
        <v>78</v>
      </c>
      <c r="AL49" s="224" t="s">
        <v>90</v>
      </c>
      <c r="AM49" s="224" t="s">
        <v>43</v>
      </c>
      <c r="AN49" s="225" t="s">
        <v>78</v>
      </c>
      <c r="AO49" s="6"/>
      <c r="AP49" s="6"/>
      <c r="AQ49" s="6"/>
      <c r="AR49" s="6"/>
    </row>
    <row r="50" spans="1:44" hidden="1" x14ac:dyDescent="0.25">
      <c r="A50"/>
      <c r="B50"/>
      <c r="E50"/>
      <c r="F50"/>
      <c r="G50"/>
      <c r="H50"/>
      <c r="I50"/>
      <c r="Q50"/>
      <c r="R50" s="207"/>
      <c r="S50" s="224" t="s">
        <v>44</v>
      </c>
      <c r="T50" s="224" t="s">
        <v>44</v>
      </c>
      <c r="U50" s="224" t="s">
        <v>44</v>
      </c>
      <c r="V50" s="224" t="s">
        <v>44</v>
      </c>
      <c r="W50" s="224" t="s">
        <v>44</v>
      </c>
      <c r="X50" s="224" t="s">
        <v>44</v>
      </c>
      <c r="Y50" s="224" t="s">
        <v>44</v>
      </c>
      <c r="Z50" s="224" t="s">
        <v>44</v>
      </c>
      <c r="AA50" s="224" t="s">
        <v>44</v>
      </c>
      <c r="AB50" s="224" t="s">
        <v>56</v>
      </c>
      <c r="AC50" s="224" t="s">
        <v>56</v>
      </c>
      <c r="AD50" s="224" t="s">
        <v>56</v>
      </c>
      <c r="AE50" s="224" t="s">
        <v>56</v>
      </c>
      <c r="AF50" s="224" t="s">
        <v>56</v>
      </c>
      <c r="AG50" s="224" t="s">
        <v>56</v>
      </c>
      <c r="AH50" s="224" t="s">
        <v>56</v>
      </c>
      <c r="AI50" s="224" t="s">
        <v>314</v>
      </c>
      <c r="AJ50" s="224" t="s">
        <v>314</v>
      </c>
      <c r="AK50" s="224" t="s">
        <v>79</v>
      </c>
      <c r="AL50" s="224" t="s">
        <v>91</v>
      </c>
      <c r="AM50" s="224" t="s">
        <v>44</v>
      </c>
      <c r="AN50" s="225" t="s">
        <v>79</v>
      </c>
      <c r="AO50" s="6"/>
      <c r="AP50" s="6"/>
      <c r="AQ50" s="6"/>
      <c r="AR50" s="6"/>
    </row>
    <row r="51" spans="1:44" hidden="1" x14ac:dyDescent="0.25">
      <c r="A51"/>
      <c r="B51"/>
      <c r="E51"/>
      <c r="F51"/>
      <c r="G51"/>
      <c r="H51"/>
      <c r="I51"/>
      <c r="Q51"/>
      <c r="R51" s="207"/>
      <c r="S51" s="180"/>
      <c r="T51" s="224" t="s">
        <v>316</v>
      </c>
      <c r="U51" s="224" t="s">
        <v>317</v>
      </c>
      <c r="V51" s="224" t="s">
        <v>318</v>
      </c>
      <c r="W51" s="224" t="s">
        <v>319</v>
      </c>
      <c r="X51" s="224" t="s">
        <v>316</v>
      </c>
      <c r="Y51" s="224" t="s">
        <v>316</v>
      </c>
      <c r="Z51" s="224" t="s">
        <v>317</v>
      </c>
      <c r="AA51" s="224" t="s">
        <v>317</v>
      </c>
      <c r="AB51" s="224"/>
      <c r="AC51" s="224" t="s">
        <v>317</v>
      </c>
      <c r="AD51" s="224" t="s">
        <v>318</v>
      </c>
      <c r="AE51" s="224" t="s">
        <v>319</v>
      </c>
      <c r="AF51" s="224" t="s">
        <v>317</v>
      </c>
      <c r="AG51" s="224" t="s">
        <v>317</v>
      </c>
      <c r="AH51" s="224" t="s">
        <v>318</v>
      </c>
      <c r="AI51" s="224" t="s">
        <v>319</v>
      </c>
      <c r="AJ51" s="224" t="s">
        <v>318</v>
      </c>
      <c r="AK51" s="224" t="s">
        <v>319</v>
      </c>
      <c r="AL51" s="180"/>
      <c r="AM51" s="224" t="s">
        <v>316</v>
      </c>
      <c r="AN51" s="181"/>
      <c r="AO51" s="6"/>
      <c r="AP51" s="6"/>
      <c r="AQ51" s="6"/>
      <c r="AR51" s="6"/>
    </row>
    <row r="52" spans="1:44" hidden="1" x14ac:dyDescent="0.25">
      <c r="N52" s="4"/>
      <c r="O52" s="4"/>
      <c r="Q52" s="4"/>
      <c r="R52" s="178"/>
      <c r="S52" s="180"/>
      <c r="T52" s="224" t="s">
        <v>45</v>
      </c>
      <c r="U52" s="224" t="s">
        <v>57</v>
      </c>
      <c r="V52" s="224" t="s">
        <v>68</v>
      </c>
      <c r="W52" s="224" t="s">
        <v>80</v>
      </c>
      <c r="X52" s="224" t="s">
        <v>45</v>
      </c>
      <c r="Y52" s="224" t="s">
        <v>45</v>
      </c>
      <c r="Z52" s="224" t="s">
        <v>57</v>
      </c>
      <c r="AA52" s="224" t="s">
        <v>57</v>
      </c>
      <c r="AB52" s="180"/>
      <c r="AC52" s="224" t="s">
        <v>57</v>
      </c>
      <c r="AD52" s="224" t="s">
        <v>68</v>
      </c>
      <c r="AE52" s="224" t="s">
        <v>80</v>
      </c>
      <c r="AF52" s="224" t="s">
        <v>57</v>
      </c>
      <c r="AG52" s="224" t="s">
        <v>57</v>
      </c>
      <c r="AH52" s="224" t="s">
        <v>68</v>
      </c>
      <c r="AI52" s="224" t="s">
        <v>80</v>
      </c>
      <c r="AJ52" s="224" t="s">
        <v>68</v>
      </c>
      <c r="AK52" s="224" t="s">
        <v>80</v>
      </c>
      <c r="AL52" s="180"/>
      <c r="AM52" s="224" t="s">
        <v>45</v>
      </c>
      <c r="AN52" s="181"/>
      <c r="AO52" s="6"/>
      <c r="AP52" s="6"/>
      <c r="AQ52" s="6"/>
      <c r="AR52" s="6"/>
    </row>
    <row r="53" spans="1:44" hidden="1" x14ac:dyDescent="0.25">
      <c r="N53" s="4"/>
      <c r="O53" s="4"/>
      <c r="Q53" s="4"/>
      <c r="R53" s="178"/>
      <c r="S53" s="180"/>
      <c r="T53" s="224" t="s">
        <v>46</v>
      </c>
      <c r="U53" s="224" t="s">
        <v>58</v>
      </c>
      <c r="V53" s="224" t="s">
        <v>69</v>
      </c>
      <c r="W53" s="224" t="s">
        <v>81</v>
      </c>
      <c r="X53" s="224" t="s">
        <v>46</v>
      </c>
      <c r="Y53" s="224" t="s">
        <v>46</v>
      </c>
      <c r="Z53" s="224" t="s">
        <v>58</v>
      </c>
      <c r="AA53" s="224" t="s">
        <v>58</v>
      </c>
      <c r="AB53" s="180"/>
      <c r="AC53" s="224" t="s">
        <v>58</v>
      </c>
      <c r="AD53" s="224" t="s">
        <v>69</v>
      </c>
      <c r="AE53" s="224" t="s">
        <v>81</v>
      </c>
      <c r="AF53" s="224" t="s">
        <v>58</v>
      </c>
      <c r="AG53" s="224" t="s">
        <v>58</v>
      </c>
      <c r="AH53" s="224" t="s">
        <v>69</v>
      </c>
      <c r="AI53" s="224" t="s">
        <v>81</v>
      </c>
      <c r="AJ53" s="224" t="s">
        <v>69</v>
      </c>
      <c r="AK53" s="224" t="s">
        <v>81</v>
      </c>
      <c r="AL53" s="180"/>
      <c r="AM53" s="224" t="s">
        <v>46</v>
      </c>
      <c r="AN53" s="181"/>
      <c r="AO53" s="6"/>
      <c r="AP53" s="6"/>
      <c r="AQ53" s="6"/>
      <c r="AR53" s="6"/>
    </row>
    <row r="54" spans="1:44" hidden="1" x14ac:dyDescent="0.25">
      <c r="N54" s="4"/>
      <c r="O54" s="4"/>
      <c r="Q54" s="4"/>
      <c r="R54" s="178"/>
      <c r="S54" s="180"/>
      <c r="T54" s="224" t="s">
        <v>47</v>
      </c>
      <c r="U54" s="224" t="s">
        <v>59</v>
      </c>
      <c r="V54" s="224" t="s">
        <v>70</v>
      </c>
      <c r="W54" s="224" t="s">
        <v>82</v>
      </c>
      <c r="X54" s="224" t="s">
        <v>47</v>
      </c>
      <c r="Y54" s="224" t="s">
        <v>47</v>
      </c>
      <c r="Z54" s="224" t="s">
        <v>59</v>
      </c>
      <c r="AA54" s="224" t="s">
        <v>59</v>
      </c>
      <c r="AB54" s="180"/>
      <c r="AC54" s="224" t="s">
        <v>59</v>
      </c>
      <c r="AD54" s="224" t="s">
        <v>70</v>
      </c>
      <c r="AE54" s="224" t="s">
        <v>82</v>
      </c>
      <c r="AF54" s="224" t="s">
        <v>59</v>
      </c>
      <c r="AG54" s="224" t="s">
        <v>59</v>
      </c>
      <c r="AH54" s="224" t="s">
        <v>70</v>
      </c>
      <c r="AI54" s="224" t="s">
        <v>82</v>
      </c>
      <c r="AJ54" s="224" t="s">
        <v>70</v>
      </c>
      <c r="AK54" s="224" t="s">
        <v>82</v>
      </c>
      <c r="AL54" s="180"/>
      <c r="AM54" s="224" t="s">
        <v>47</v>
      </c>
      <c r="AN54" s="181"/>
      <c r="AO54" s="6"/>
      <c r="AP54" s="6"/>
      <c r="AQ54" s="6"/>
      <c r="AR54" s="6"/>
    </row>
    <row r="55" spans="1:44" hidden="1" x14ac:dyDescent="0.25">
      <c r="N55" s="4"/>
      <c r="O55" s="4"/>
      <c r="Q55" s="4"/>
      <c r="R55" s="178"/>
      <c r="S55" s="180"/>
      <c r="T55" s="224" t="s">
        <v>48</v>
      </c>
      <c r="U55" s="224" t="s">
        <v>60</v>
      </c>
      <c r="V55" s="224" t="s">
        <v>71</v>
      </c>
      <c r="W55" s="224" t="s">
        <v>83</v>
      </c>
      <c r="X55" s="224" t="s">
        <v>48</v>
      </c>
      <c r="Y55" s="224" t="s">
        <v>48</v>
      </c>
      <c r="Z55" s="224" t="s">
        <v>60</v>
      </c>
      <c r="AA55" s="224" t="s">
        <v>60</v>
      </c>
      <c r="AB55" s="180"/>
      <c r="AC55" s="224" t="s">
        <v>60</v>
      </c>
      <c r="AD55" s="224" t="s">
        <v>71</v>
      </c>
      <c r="AE55" s="224" t="s">
        <v>83</v>
      </c>
      <c r="AF55" s="224" t="s">
        <v>60</v>
      </c>
      <c r="AG55" s="224" t="s">
        <v>60</v>
      </c>
      <c r="AH55" s="224" t="s">
        <v>71</v>
      </c>
      <c r="AI55" s="224" t="s">
        <v>83</v>
      </c>
      <c r="AJ55" s="224" t="s">
        <v>71</v>
      </c>
      <c r="AK55" s="224" t="s">
        <v>83</v>
      </c>
      <c r="AL55" s="180"/>
      <c r="AM55" s="224" t="s">
        <v>48</v>
      </c>
      <c r="AN55" s="181"/>
      <c r="AO55" s="6"/>
      <c r="AP55" s="6"/>
      <c r="AQ55" s="6"/>
      <c r="AR55" s="6"/>
    </row>
    <row r="56" spans="1:44" hidden="1" x14ac:dyDescent="0.25">
      <c r="N56" s="4"/>
      <c r="O56" s="4"/>
      <c r="Q56" s="4"/>
      <c r="R56" s="178"/>
      <c r="S56" s="180"/>
      <c r="T56" s="224" t="s">
        <v>49</v>
      </c>
      <c r="U56" s="224" t="s">
        <v>61</v>
      </c>
      <c r="V56" s="224" t="s">
        <v>72</v>
      </c>
      <c r="W56" s="224" t="s">
        <v>84</v>
      </c>
      <c r="X56" s="224" t="s">
        <v>49</v>
      </c>
      <c r="Y56" s="224" t="s">
        <v>49</v>
      </c>
      <c r="Z56" s="224" t="s">
        <v>61</v>
      </c>
      <c r="AA56" s="224" t="s">
        <v>61</v>
      </c>
      <c r="AB56" s="180"/>
      <c r="AC56" s="224" t="s">
        <v>61</v>
      </c>
      <c r="AD56" s="224" t="s">
        <v>72</v>
      </c>
      <c r="AE56" s="224" t="s">
        <v>84</v>
      </c>
      <c r="AF56" s="224" t="s">
        <v>61</v>
      </c>
      <c r="AG56" s="224" t="s">
        <v>61</v>
      </c>
      <c r="AH56" s="224" t="s">
        <v>72</v>
      </c>
      <c r="AI56" s="224" t="s">
        <v>84</v>
      </c>
      <c r="AJ56" s="224" t="s">
        <v>72</v>
      </c>
      <c r="AK56" s="224" t="s">
        <v>84</v>
      </c>
      <c r="AL56" s="180"/>
      <c r="AM56" s="224" t="s">
        <v>49</v>
      </c>
      <c r="AN56" s="181"/>
      <c r="AO56" s="6"/>
      <c r="AP56" s="6"/>
      <c r="AQ56" s="6"/>
      <c r="AR56" s="6"/>
    </row>
    <row r="57" spans="1:44" hidden="1" x14ac:dyDescent="0.25">
      <c r="L57" s="4"/>
      <c r="N57" s="4"/>
      <c r="O57" s="4"/>
      <c r="Q57" s="4"/>
      <c r="R57" s="178"/>
      <c r="S57" s="180"/>
      <c r="T57" s="224" t="s">
        <v>50</v>
      </c>
      <c r="U57" s="224" t="s">
        <v>62</v>
      </c>
      <c r="V57" s="224" t="s">
        <v>73</v>
      </c>
      <c r="W57" s="224" t="s">
        <v>85</v>
      </c>
      <c r="X57" s="224" t="s">
        <v>50</v>
      </c>
      <c r="Y57" s="224" t="s">
        <v>50</v>
      </c>
      <c r="Z57" s="224" t="s">
        <v>62</v>
      </c>
      <c r="AA57" s="224" t="s">
        <v>62</v>
      </c>
      <c r="AB57" s="180"/>
      <c r="AC57" s="224" t="s">
        <v>62</v>
      </c>
      <c r="AD57" s="224" t="s">
        <v>73</v>
      </c>
      <c r="AE57" s="224" t="s">
        <v>85</v>
      </c>
      <c r="AF57" s="224" t="s">
        <v>62</v>
      </c>
      <c r="AG57" s="224" t="s">
        <v>62</v>
      </c>
      <c r="AH57" s="224" t="s">
        <v>73</v>
      </c>
      <c r="AI57" s="224" t="s">
        <v>85</v>
      </c>
      <c r="AJ57" s="224" t="s">
        <v>73</v>
      </c>
      <c r="AK57" s="224" t="s">
        <v>85</v>
      </c>
      <c r="AL57" s="180"/>
      <c r="AM57" s="224" t="s">
        <v>50</v>
      </c>
      <c r="AN57" s="181"/>
      <c r="AO57" s="6"/>
      <c r="AP57" s="6"/>
      <c r="AQ57" s="6"/>
      <c r="AR57" s="6"/>
    </row>
    <row r="58" spans="1:44" hidden="1" x14ac:dyDescent="0.25">
      <c r="L58" s="4"/>
      <c r="N58" s="4"/>
      <c r="O58" s="4"/>
      <c r="Q58" s="4"/>
      <c r="R58" s="178"/>
      <c r="S58" s="180"/>
      <c r="T58" s="224" t="s">
        <v>51</v>
      </c>
      <c r="U58" s="224" t="s">
        <v>63</v>
      </c>
      <c r="V58" s="224" t="s">
        <v>74</v>
      </c>
      <c r="W58" s="224" t="s">
        <v>86</v>
      </c>
      <c r="X58" s="224" t="s">
        <v>51</v>
      </c>
      <c r="Y58" s="224" t="s">
        <v>51</v>
      </c>
      <c r="Z58" s="224" t="s">
        <v>63</v>
      </c>
      <c r="AA58" s="224" t="s">
        <v>63</v>
      </c>
      <c r="AB58" s="180"/>
      <c r="AC58" s="224" t="s">
        <v>63</v>
      </c>
      <c r="AD58" s="224" t="s">
        <v>74</v>
      </c>
      <c r="AE58" s="224" t="s">
        <v>86</v>
      </c>
      <c r="AF58" s="224" t="s">
        <v>63</v>
      </c>
      <c r="AG58" s="224" t="s">
        <v>63</v>
      </c>
      <c r="AH58" s="224" t="s">
        <v>74</v>
      </c>
      <c r="AI58" s="224" t="s">
        <v>86</v>
      </c>
      <c r="AJ58" s="224" t="s">
        <v>74</v>
      </c>
      <c r="AK58" s="224" t="s">
        <v>86</v>
      </c>
      <c r="AL58" s="180"/>
      <c r="AM58" s="224" t="s">
        <v>51</v>
      </c>
      <c r="AN58" s="181"/>
      <c r="AO58" s="6"/>
      <c r="AP58" s="6"/>
      <c r="AQ58" s="6"/>
      <c r="AR58" s="6"/>
    </row>
    <row r="59" spans="1:44" hidden="1" x14ac:dyDescent="0.25">
      <c r="L59" s="4"/>
      <c r="N59" s="4"/>
      <c r="O59" s="4"/>
      <c r="Q59" s="4"/>
      <c r="R59" s="178"/>
      <c r="S59" s="180"/>
      <c r="T59" s="224" t="s">
        <v>52</v>
      </c>
      <c r="U59" s="224" t="s">
        <v>635</v>
      </c>
      <c r="V59" s="224" t="s">
        <v>75</v>
      </c>
      <c r="W59" s="224" t="s">
        <v>87</v>
      </c>
      <c r="X59" s="224" t="s">
        <v>52</v>
      </c>
      <c r="Y59" s="224" t="s">
        <v>52</v>
      </c>
      <c r="Z59" s="224" t="s">
        <v>635</v>
      </c>
      <c r="AA59" s="224" t="s">
        <v>635</v>
      </c>
      <c r="AB59" s="180"/>
      <c r="AC59" s="224" t="s">
        <v>635</v>
      </c>
      <c r="AD59" s="224" t="s">
        <v>75</v>
      </c>
      <c r="AE59" s="224" t="s">
        <v>87</v>
      </c>
      <c r="AF59" s="224" t="s">
        <v>635</v>
      </c>
      <c r="AG59" s="224" t="s">
        <v>635</v>
      </c>
      <c r="AH59" s="224" t="s">
        <v>75</v>
      </c>
      <c r="AI59" s="224" t="s">
        <v>87</v>
      </c>
      <c r="AJ59" s="224" t="s">
        <v>75</v>
      </c>
      <c r="AK59" s="224" t="s">
        <v>87</v>
      </c>
      <c r="AL59" s="180"/>
      <c r="AM59" s="224" t="s">
        <v>52</v>
      </c>
      <c r="AN59" s="181"/>
      <c r="AO59" s="6"/>
      <c r="AP59" s="6"/>
      <c r="AQ59" s="6"/>
      <c r="AR59" s="6"/>
    </row>
    <row r="60" spans="1:44" hidden="1" x14ac:dyDescent="0.25">
      <c r="L60" s="4"/>
      <c r="O60" s="1"/>
      <c r="Q60"/>
      <c r="R60" s="178"/>
      <c r="S60" s="180"/>
      <c r="T60" s="224" t="s">
        <v>53</v>
      </c>
      <c r="U60" s="224" t="s">
        <v>65</v>
      </c>
      <c r="V60" s="224" t="s">
        <v>76</v>
      </c>
      <c r="W60" s="224" t="s">
        <v>88</v>
      </c>
      <c r="X60" s="224" t="s">
        <v>53</v>
      </c>
      <c r="Y60" s="224" t="s">
        <v>53</v>
      </c>
      <c r="Z60" s="224" t="s">
        <v>65</v>
      </c>
      <c r="AA60" s="224" t="s">
        <v>65</v>
      </c>
      <c r="AB60" s="180"/>
      <c r="AC60" s="224" t="s">
        <v>65</v>
      </c>
      <c r="AD60" s="224" t="s">
        <v>76</v>
      </c>
      <c r="AE60" s="224" t="s">
        <v>88</v>
      </c>
      <c r="AF60" s="224" t="s">
        <v>65</v>
      </c>
      <c r="AG60" s="224" t="s">
        <v>65</v>
      </c>
      <c r="AH60" s="224" t="s">
        <v>76</v>
      </c>
      <c r="AI60" s="224" t="s">
        <v>88</v>
      </c>
      <c r="AJ60" s="224" t="s">
        <v>76</v>
      </c>
      <c r="AK60" s="224" t="s">
        <v>88</v>
      </c>
      <c r="AL60" s="180"/>
      <c r="AM60" s="224" t="s">
        <v>53</v>
      </c>
      <c r="AN60" s="181"/>
      <c r="AO60" s="6"/>
      <c r="AP60" s="6"/>
      <c r="AQ60" s="6"/>
      <c r="AR60" s="6"/>
    </row>
    <row r="61" spans="1:44" hidden="1" x14ac:dyDescent="0.25">
      <c r="L61" s="4"/>
      <c r="O61" s="1"/>
      <c r="Q61"/>
      <c r="R61" s="178"/>
      <c r="S61" s="180"/>
      <c r="T61" s="224" t="s">
        <v>54</v>
      </c>
      <c r="U61" s="224" t="s">
        <v>66</v>
      </c>
      <c r="V61" s="224" t="s">
        <v>77</v>
      </c>
      <c r="W61" s="224" t="s">
        <v>89</v>
      </c>
      <c r="X61" s="224" t="s">
        <v>54</v>
      </c>
      <c r="Y61" s="224" t="s">
        <v>54</v>
      </c>
      <c r="Z61" s="224" t="s">
        <v>66</v>
      </c>
      <c r="AA61" s="224" t="s">
        <v>66</v>
      </c>
      <c r="AB61" s="180"/>
      <c r="AC61" s="224" t="s">
        <v>66</v>
      </c>
      <c r="AD61" s="224" t="s">
        <v>77</v>
      </c>
      <c r="AE61" s="224" t="s">
        <v>89</v>
      </c>
      <c r="AF61" s="224" t="s">
        <v>66</v>
      </c>
      <c r="AG61" s="224" t="s">
        <v>66</v>
      </c>
      <c r="AH61" s="224" t="s">
        <v>77</v>
      </c>
      <c r="AI61" s="224" t="s">
        <v>89</v>
      </c>
      <c r="AJ61" s="224" t="s">
        <v>77</v>
      </c>
      <c r="AK61" s="224" t="s">
        <v>89</v>
      </c>
      <c r="AL61" s="180"/>
      <c r="AM61" s="224" t="s">
        <v>54</v>
      </c>
      <c r="AN61" s="181"/>
      <c r="AO61" s="6"/>
      <c r="AP61" s="6"/>
      <c r="AQ61" s="6"/>
      <c r="AR61" s="6"/>
    </row>
    <row r="62" spans="1:44" hidden="1" x14ac:dyDescent="0.25">
      <c r="L62" s="4"/>
      <c r="N62" s="1"/>
      <c r="Q62"/>
      <c r="R62" s="178"/>
      <c r="S62" s="180"/>
      <c r="T62" s="224" t="s">
        <v>55</v>
      </c>
      <c r="U62" s="224" t="s">
        <v>67</v>
      </c>
      <c r="V62" s="224" t="s">
        <v>78</v>
      </c>
      <c r="W62" s="224" t="s">
        <v>90</v>
      </c>
      <c r="X62" s="224" t="s">
        <v>55</v>
      </c>
      <c r="Y62" s="224" t="s">
        <v>55</v>
      </c>
      <c r="Z62" s="224" t="s">
        <v>67</v>
      </c>
      <c r="AA62" s="224" t="s">
        <v>67</v>
      </c>
      <c r="AB62" s="180"/>
      <c r="AC62" s="224" t="s">
        <v>67</v>
      </c>
      <c r="AD62" s="224" t="s">
        <v>78</v>
      </c>
      <c r="AE62" s="224" t="s">
        <v>90</v>
      </c>
      <c r="AF62" s="224" t="s">
        <v>67</v>
      </c>
      <c r="AG62" s="224" t="s">
        <v>67</v>
      </c>
      <c r="AH62" s="224" t="s">
        <v>78</v>
      </c>
      <c r="AI62" s="224" t="s">
        <v>90</v>
      </c>
      <c r="AJ62" s="224" t="s">
        <v>78</v>
      </c>
      <c r="AK62" s="224" t="s">
        <v>90</v>
      </c>
      <c r="AL62" s="180"/>
      <c r="AM62" s="224" t="s">
        <v>55</v>
      </c>
      <c r="AN62" s="181"/>
      <c r="AO62" s="6"/>
      <c r="AP62" s="6"/>
      <c r="AQ62" s="6"/>
      <c r="AR62" s="6"/>
    </row>
    <row r="63" spans="1:44" hidden="1" x14ac:dyDescent="0.25">
      <c r="L63" s="4"/>
      <c r="N63" s="1"/>
      <c r="Q63"/>
      <c r="R63" s="178"/>
      <c r="S63" s="180"/>
      <c r="T63" s="224" t="s">
        <v>56</v>
      </c>
      <c r="U63" s="224" t="s">
        <v>314</v>
      </c>
      <c r="V63" s="224" t="s">
        <v>79</v>
      </c>
      <c r="W63" s="224" t="s">
        <v>91</v>
      </c>
      <c r="X63" s="224" t="s">
        <v>56</v>
      </c>
      <c r="Y63" s="224" t="s">
        <v>56</v>
      </c>
      <c r="Z63" s="224" t="s">
        <v>314</v>
      </c>
      <c r="AA63" s="224" t="s">
        <v>314</v>
      </c>
      <c r="AB63" s="180"/>
      <c r="AC63" s="224" t="s">
        <v>314</v>
      </c>
      <c r="AD63" s="224" t="s">
        <v>79</v>
      </c>
      <c r="AE63" s="224" t="s">
        <v>91</v>
      </c>
      <c r="AF63" s="224" t="s">
        <v>314</v>
      </c>
      <c r="AG63" s="224" t="s">
        <v>314</v>
      </c>
      <c r="AH63" s="224" t="s">
        <v>79</v>
      </c>
      <c r="AI63" s="224" t="s">
        <v>91</v>
      </c>
      <c r="AJ63" s="224" t="s">
        <v>79</v>
      </c>
      <c r="AK63" s="224" t="s">
        <v>91</v>
      </c>
      <c r="AL63" s="180"/>
      <c r="AM63" s="224" t="s">
        <v>56</v>
      </c>
      <c r="AN63" s="181"/>
      <c r="AO63" s="6"/>
      <c r="AP63" s="6"/>
      <c r="AQ63" s="6"/>
      <c r="AR63" s="6"/>
    </row>
    <row r="64" spans="1:44" hidden="1" x14ac:dyDescent="0.25">
      <c r="L64" s="4"/>
      <c r="M64" s="6"/>
      <c r="N64" s="6"/>
      <c r="Q64"/>
      <c r="R64" s="178"/>
      <c r="S64" s="180"/>
      <c r="T64" s="224"/>
      <c r="U64" s="224"/>
      <c r="V64" s="224"/>
      <c r="W64" s="224"/>
      <c r="X64" s="224" t="s">
        <v>317</v>
      </c>
      <c r="Y64" s="224" t="s">
        <v>318</v>
      </c>
      <c r="Z64" s="224" t="s">
        <v>318</v>
      </c>
      <c r="AA64" s="224" t="s">
        <v>319</v>
      </c>
      <c r="AB64" s="180"/>
      <c r="AC64" s="224"/>
      <c r="AD64" s="224"/>
      <c r="AE64" s="224"/>
      <c r="AF64" s="224" t="s">
        <v>318</v>
      </c>
      <c r="AG64" s="224" t="s">
        <v>319</v>
      </c>
      <c r="AH64" s="224" t="s">
        <v>319</v>
      </c>
      <c r="AI64" s="180"/>
      <c r="AJ64" s="224" t="s">
        <v>319</v>
      </c>
      <c r="AK64" s="180"/>
      <c r="AL64" s="180"/>
      <c r="AM64" s="224" t="s">
        <v>319</v>
      </c>
      <c r="AN64" s="181"/>
      <c r="AO64" s="6"/>
      <c r="AP64" s="6"/>
      <c r="AQ64" s="6"/>
      <c r="AR64" s="6"/>
    </row>
    <row r="65" spans="12:44" hidden="1" x14ac:dyDescent="0.25">
      <c r="L65" s="4"/>
      <c r="Q65"/>
      <c r="R65" s="178"/>
      <c r="S65" s="180"/>
      <c r="T65" s="180"/>
      <c r="U65" s="180"/>
      <c r="V65" s="180"/>
      <c r="W65" s="180"/>
      <c r="X65" s="224" t="s">
        <v>57</v>
      </c>
      <c r="Y65" s="224" t="s">
        <v>68</v>
      </c>
      <c r="Z65" s="224" t="s">
        <v>68</v>
      </c>
      <c r="AA65" s="224" t="s">
        <v>80</v>
      </c>
      <c r="AB65" s="180"/>
      <c r="AC65" s="180"/>
      <c r="AD65" s="180"/>
      <c r="AE65" s="180"/>
      <c r="AF65" s="224" t="s">
        <v>68</v>
      </c>
      <c r="AG65" s="224" t="s">
        <v>80</v>
      </c>
      <c r="AH65" s="224" t="s">
        <v>80</v>
      </c>
      <c r="AI65" s="180"/>
      <c r="AJ65" s="224" t="s">
        <v>80</v>
      </c>
      <c r="AK65" s="180"/>
      <c r="AL65" s="180"/>
      <c r="AM65" s="224" t="s">
        <v>80</v>
      </c>
      <c r="AN65" s="181"/>
      <c r="AO65" s="6"/>
      <c r="AP65" s="6"/>
      <c r="AQ65" s="6"/>
      <c r="AR65" s="6"/>
    </row>
    <row r="66" spans="12:44" hidden="1" x14ac:dyDescent="0.25">
      <c r="L66" s="4"/>
      <c r="R66" s="178"/>
      <c r="S66" s="180"/>
      <c r="T66" s="180"/>
      <c r="U66" s="180"/>
      <c r="V66" s="180"/>
      <c r="W66" s="180"/>
      <c r="X66" s="224" t="s">
        <v>58</v>
      </c>
      <c r="Y66" s="224" t="s">
        <v>69</v>
      </c>
      <c r="Z66" s="224" t="s">
        <v>69</v>
      </c>
      <c r="AA66" s="224" t="s">
        <v>81</v>
      </c>
      <c r="AB66" s="180"/>
      <c r="AC66" s="180"/>
      <c r="AD66" s="180"/>
      <c r="AE66" s="180"/>
      <c r="AF66" s="224" t="s">
        <v>69</v>
      </c>
      <c r="AG66" s="224" t="s">
        <v>81</v>
      </c>
      <c r="AH66" s="224" t="s">
        <v>81</v>
      </c>
      <c r="AI66" s="180"/>
      <c r="AJ66" s="224" t="s">
        <v>81</v>
      </c>
      <c r="AK66" s="180"/>
      <c r="AL66" s="180"/>
      <c r="AM66" s="224" t="s">
        <v>81</v>
      </c>
      <c r="AN66" s="181"/>
      <c r="AO66" s="6"/>
      <c r="AP66" s="6"/>
      <c r="AQ66" s="6"/>
      <c r="AR66" s="6"/>
    </row>
    <row r="67" spans="12:44" hidden="1" x14ac:dyDescent="0.25">
      <c r="R67" s="178"/>
      <c r="S67" s="180"/>
      <c r="T67" s="180"/>
      <c r="U67" s="180"/>
      <c r="V67" s="180"/>
      <c r="W67" s="180"/>
      <c r="X67" s="224" t="s">
        <v>59</v>
      </c>
      <c r="Y67" s="224" t="s">
        <v>70</v>
      </c>
      <c r="Z67" s="224" t="s">
        <v>70</v>
      </c>
      <c r="AA67" s="224" t="s">
        <v>82</v>
      </c>
      <c r="AB67" s="180"/>
      <c r="AC67" s="180"/>
      <c r="AD67" s="180"/>
      <c r="AE67" s="180"/>
      <c r="AF67" s="224" t="s">
        <v>70</v>
      </c>
      <c r="AG67" s="224" t="s">
        <v>82</v>
      </c>
      <c r="AH67" s="224" t="s">
        <v>82</v>
      </c>
      <c r="AI67" s="180"/>
      <c r="AJ67" s="224" t="s">
        <v>82</v>
      </c>
      <c r="AK67" s="180"/>
      <c r="AL67" s="180"/>
      <c r="AM67" s="224" t="s">
        <v>82</v>
      </c>
      <c r="AN67" s="181"/>
      <c r="AO67" s="6"/>
      <c r="AP67" s="6"/>
      <c r="AQ67" s="6"/>
      <c r="AR67" s="6"/>
    </row>
    <row r="68" spans="12:44" hidden="1" x14ac:dyDescent="0.25">
      <c r="R68" s="178"/>
      <c r="S68" s="180"/>
      <c r="T68" s="180"/>
      <c r="U68" s="180"/>
      <c r="V68" s="180"/>
      <c r="W68" s="180"/>
      <c r="X68" s="224" t="s">
        <v>60</v>
      </c>
      <c r="Y68" s="224" t="s">
        <v>71</v>
      </c>
      <c r="Z68" s="224" t="s">
        <v>71</v>
      </c>
      <c r="AA68" s="224" t="s">
        <v>83</v>
      </c>
      <c r="AB68" s="180"/>
      <c r="AC68" s="180"/>
      <c r="AD68" s="180"/>
      <c r="AE68" s="180"/>
      <c r="AF68" s="224" t="s">
        <v>71</v>
      </c>
      <c r="AG68" s="224" t="s">
        <v>83</v>
      </c>
      <c r="AH68" s="224" t="s">
        <v>83</v>
      </c>
      <c r="AI68" s="180"/>
      <c r="AJ68" s="224" t="s">
        <v>83</v>
      </c>
      <c r="AK68" s="180"/>
      <c r="AL68" s="180"/>
      <c r="AM68" s="224" t="s">
        <v>83</v>
      </c>
      <c r="AN68" s="181"/>
      <c r="AO68" s="6"/>
      <c r="AP68" s="6"/>
      <c r="AQ68" s="6"/>
      <c r="AR68" s="6"/>
    </row>
    <row r="69" spans="12:44" ht="15" hidden="1" customHeight="1" x14ac:dyDescent="0.25">
      <c r="R69" s="178"/>
      <c r="S69" s="180"/>
      <c r="T69" s="180"/>
      <c r="U69" s="180"/>
      <c r="V69" s="180"/>
      <c r="W69" s="180"/>
      <c r="X69" s="224" t="s">
        <v>61</v>
      </c>
      <c r="Y69" s="224" t="s">
        <v>72</v>
      </c>
      <c r="Z69" s="224" t="s">
        <v>72</v>
      </c>
      <c r="AA69" s="224" t="s">
        <v>84</v>
      </c>
      <c r="AB69" s="180"/>
      <c r="AC69" s="180"/>
      <c r="AD69" s="180"/>
      <c r="AE69" s="180"/>
      <c r="AF69" s="224" t="s">
        <v>72</v>
      </c>
      <c r="AG69" s="224" t="s">
        <v>84</v>
      </c>
      <c r="AH69" s="224" t="s">
        <v>84</v>
      </c>
      <c r="AI69" s="180"/>
      <c r="AJ69" s="224" t="s">
        <v>84</v>
      </c>
      <c r="AK69" s="180"/>
      <c r="AL69" s="180"/>
      <c r="AM69" s="224" t="s">
        <v>84</v>
      </c>
      <c r="AN69" s="181"/>
      <c r="AO69" s="6"/>
      <c r="AP69" s="6"/>
      <c r="AQ69" s="6"/>
      <c r="AR69" s="6"/>
    </row>
    <row r="70" spans="12:44" hidden="1" x14ac:dyDescent="0.25">
      <c r="R70" s="178"/>
      <c r="S70" s="180"/>
      <c r="T70" s="180"/>
      <c r="U70" s="180"/>
      <c r="V70" s="180"/>
      <c r="W70" s="180"/>
      <c r="X70" s="224" t="s">
        <v>62</v>
      </c>
      <c r="Y70" s="224" t="s">
        <v>73</v>
      </c>
      <c r="Z70" s="224" t="s">
        <v>73</v>
      </c>
      <c r="AA70" s="224" t="s">
        <v>85</v>
      </c>
      <c r="AB70" s="180"/>
      <c r="AC70" s="180"/>
      <c r="AD70" s="180"/>
      <c r="AE70" s="180"/>
      <c r="AF70" s="224" t="s">
        <v>73</v>
      </c>
      <c r="AG70" s="224" t="s">
        <v>85</v>
      </c>
      <c r="AH70" s="224" t="s">
        <v>85</v>
      </c>
      <c r="AI70" s="180"/>
      <c r="AJ70" s="224" t="s">
        <v>85</v>
      </c>
      <c r="AK70" s="180"/>
      <c r="AL70" s="180"/>
      <c r="AM70" s="224" t="s">
        <v>85</v>
      </c>
      <c r="AN70" s="181"/>
      <c r="AO70" s="6"/>
      <c r="AP70" s="6"/>
      <c r="AQ70" s="6"/>
      <c r="AR70" s="6"/>
    </row>
    <row r="71" spans="12:44" hidden="1" x14ac:dyDescent="0.25">
      <c r="R71" s="178"/>
      <c r="S71" s="180"/>
      <c r="T71" s="180"/>
      <c r="U71" s="180"/>
      <c r="V71" s="180"/>
      <c r="W71" s="180"/>
      <c r="X71" s="224" t="s">
        <v>63</v>
      </c>
      <c r="Y71" s="224" t="s">
        <v>74</v>
      </c>
      <c r="Z71" s="224" t="s">
        <v>74</v>
      </c>
      <c r="AA71" s="224" t="s">
        <v>86</v>
      </c>
      <c r="AB71" s="180"/>
      <c r="AC71" s="180"/>
      <c r="AD71" s="180"/>
      <c r="AE71" s="180"/>
      <c r="AF71" s="224" t="s">
        <v>74</v>
      </c>
      <c r="AG71" s="224" t="s">
        <v>86</v>
      </c>
      <c r="AH71" s="224" t="s">
        <v>86</v>
      </c>
      <c r="AI71" s="180"/>
      <c r="AJ71" s="224" t="s">
        <v>86</v>
      </c>
      <c r="AK71" s="180"/>
      <c r="AL71" s="180"/>
      <c r="AM71" s="224" t="s">
        <v>86</v>
      </c>
      <c r="AN71" s="181"/>
      <c r="AO71" s="6"/>
      <c r="AP71" s="6"/>
      <c r="AQ71" s="6"/>
      <c r="AR71" s="6"/>
    </row>
    <row r="72" spans="12:44" hidden="1" x14ac:dyDescent="0.25">
      <c r="R72" s="178"/>
      <c r="S72" s="180"/>
      <c r="T72" s="180"/>
      <c r="U72" s="180"/>
      <c r="V72" s="180"/>
      <c r="W72" s="180"/>
      <c r="X72" s="224" t="s">
        <v>635</v>
      </c>
      <c r="Y72" s="224" t="s">
        <v>75</v>
      </c>
      <c r="Z72" s="224" t="s">
        <v>75</v>
      </c>
      <c r="AA72" s="224" t="s">
        <v>87</v>
      </c>
      <c r="AB72" s="180"/>
      <c r="AC72" s="180"/>
      <c r="AD72" s="180"/>
      <c r="AE72" s="180"/>
      <c r="AF72" s="224" t="s">
        <v>75</v>
      </c>
      <c r="AG72" s="224" t="s">
        <v>87</v>
      </c>
      <c r="AH72" s="224" t="s">
        <v>87</v>
      </c>
      <c r="AI72" s="180"/>
      <c r="AJ72" s="224" t="s">
        <v>87</v>
      </c>
      <c r="AK72" s="180"/>
      <c r="AL72" s="180"/>
      <c r="AM72" s="224" t="s">
        <v>87</v>
      </c>
      <c r="AN72" s="181"/>
      <c r="AO72" s="6"/>
      <c r="AP72" s="6"/>
      <c r="AQ72" s="6"/>
      <c r="AR72" s="6"/>
    </row>
    <row r="73" spans="12:44" hidden="1" x14ac:dyDescent="0.25">
      <c r="R73" s="178"/>
      <c r="S73" s="180"/>
      <c r="T73" s="180"/>
      <c r="U73" s="180"/>
      <c r="V73" s="180"/>
      <c r="W73" s="180"/>
      <c r="X73" s="224" t="s">
        <v>65</v>
      </c>
      <c r="Y73" s="224" t="s">
        <v>76</v>
      </c>
      <c r="Z73" s="224" t="s">
        <v>76</v>
      </c>
      <c r="AA73" s="224" t="s">
        <v>88</v>
      </c>
      <c r="AB73" s="180"/>
      <c r="AC73" s="180"/>
      <c r="AD73" s="180"/>
      <c r="AE73" s="180"/>
      <c r="AF73" s="224" t="s">
        <v>76</v>
      </c>
      <c r="AG73" s="224" t="s">
        <v>88</v>
      </c>
      <c r="AH73" s="224" t="s">
        <v>88</v>
      </c>
      <c r="AI73" s="180"/>
      <c r="AJ73" s="224" t="s">
        <v>88</v>
      </c>
      <c r="AK73" s="180"/>
      <c r="AL73" s="180"/>
      <c r="AM73" s="224" t="s">
        <v>88</v>
      </c>
      <c r="AN73" s="181"/>
      <c r="AO73" s="6"/>
      <c r="AP73" s="6"/>
      <c r="AQ73" s="6"/>
      <c r="AR73" s="6"/>
    </row>
    <row r="74" spans="12:44" hidden="1" x14ac:dyDescent="0.25">
      <c r="R74" s="178"/>
      <c r="S74" s="180"/>
      <c r="T74" s="180"/>
      <c r="U74" s="180"/>
      <c r="V74" s="180"/>
      <c r="W74" s="180"/>
      <c r="X74" s="224" t="s">
        <v>66</v>
      </c>
      <c r="Y74" s="224" t="s">
        <v>77</v>
      </c>
      <c r="Z74" s="224" t="s">
        <v>77</v>
      </c>
      <c r="AA74" s="224" t="s">
        <v>89</v>
      </c>
      <c r="AB74" s="180"/>
      <c r="AC74" s="180"/>
      <c r="AD74" s="180"/>
      <c r="AE74" s="180"/>
      <c r="AF74" s="224" t="s">
        <v>77</v>
      </c>
      <c r="AG74" s="224" t="s">
        <v>89</v>
      </c>
      <c r="AH74" s="224" t="s">
        <v>89</v>
      </c>
      <c r="AI74" s="180"/>
      <c r="AJ74" s="224" t="s">
        <v>89</v>
      </c>
      <c r="AK74" s="180"/>
      <c r="AL74" s="180"/>
      <c r="AM74" s="224" t="s">
        <v>89</v>
      </c>
      <c r="AN74" s="181"/>
      <c r="AO74" s="6"/>
      <c r="AP74" s="6"/>
      <c r="AQ74" s="6"/>
      <c r="AR74" s="6"/>
    </row>
    <row r="75" spans="12:44" hidden="1" x14ac:dyDescent="0.25">
      <c r="R75" s="178"/>
      <c r="S75" s="180"/>
      <c r="T75" s="180"/>
      <c r="U75" s="180"/>
      <c r="V75" s="180"/>
      <c r="W75" s="180"/>
      <c r="X75" s="224" t="s">
        <v>67</v>
      </c>
      <c r="Y75" s="224" t="s">
        <v>78</v>
      </c>
      <c r="Z75" s="224" t="s">
        <v>78</v>
      </c>
      <c r="AA75" s="224" t="s">
        <v>90</v>
      </c>
      <c r="AB75" s="180"/>
      <c r="AC75" s="180"/>
      <c r="AD75" s="180"/>
      <c r="AE75" s="180"/>
      <c r="AF75" s="224" t="s">
        <v>78</v>
      </c>
      <c r="AG75" s="224" t="s">
        <v>90</v>
      </c>
      <c r="AH75" s="224" t="s">
        <v>90</v>
      </c>
      <c r="AI75" s="180"/>
      <c r="AJ75" s="224" t="s">
        <v>90</v>
      </c>
      <c r="AK75" s="180"/>
      <c r="AL75" s="180"/>
      <c r="AM75" s="224" t="s">
        <v>90</v>
      </c>
      <c r="AN75" s="181"/>
      <c r="AO75" s="6"/>
      <c r="AP75" s="6"/>
      <c r="AQ75" s="6"/>
      <c r="AR75" s="6"/>
    </row>
    <row r="76" spans="12:44" hidden="1" x14ac:dyDescent="0.25">
      <c r="R76" s="204"/>
      <c r="S76" s="182"/>
      <c r="T76" s="182"/>
      <c r="U76" s="182"/>
      <c r="V76" s="182"/>
      <c r="W76" s="182"/>
      <c r="X76" s="226" t="s">
        <v>314</v>
      </c>
      <c r="Y76" s="226" t="s">
        <v>79</v>
      </c>
      <c r="Z76" s="226" t="s">
        <v>79</v>
      </c>
      <c r="AA76" s="226" t="s">
        <v>91</v>
      </c>
      <c r="AB76" s="182"/>
      <c r="AC76" s="182"/>
      <c r="AD76" s="182"/>
      <c r="AE76" s="182"/>
      <c r="AF76" s="226" t="s">
        <v>79</v>
      </c>
      <c r="AG76" s="226" t="s">
        <v>91</v>
      </c>
      <c r="AH76" s="226" t="s">
        <v>91</v>
      </c>
      <c r="AI76" s="182"/>
      <c r="AJ76" s="226" t="s">
        <v>91</v>
      </c>
      <c r="AK76" s="182"/>
      <c r="AL76" s="182"/>
      <c r="AM76" s="226" t="s">
        <v>91</v>
      </c>
      <c r="AN76" s="200"/>
    </row>
  </sheetData>
  <sheetProtection sheet="1" objects="1" scenarios="1"/>
  <protectedRanges>
    <protectedRange sqref="B28:B36" name="Range4"/>
    <protectedRange sqref="C8:D25" name="Range2"/>
    <protectedRange sqref="D2:D5 J2" name="Range1"/>
    <protectedRange sqref="L8:P23" name="Range5"/>
  </protectedRanges>
  <dataConsolidate/>
  <mergeCells count="56">
    <mergeCell ref="E35:G35"/>
    <mergeCell ref="E36:G36"/>
    <mergeCell ref="B37:D37"/>
    <mergeCell ref="E37:G37"/>
    <mergeCell ref="B39:O39"/>
    <mergeCell ref="B40:O40"/>
    <mergeCell ref="E28:G28"/>
    <mergeCell ref="J28:J30"/>
    <mergeCell ref="L28:O37"/>
    <mergeCell ref="E29:G29"/>
    <mergeCell ref="E30:G30"/>
    <mergeCell ref="E31:G31"/>
    <mergeCell ref="J31:J37"/>
    <mergeCell ref="E32:G32"/>
    <mergeCell ref="E33:G33"/>
    <mergeCell ref="E34:G34"/>
    <mergeCell ref="C25:D25"/>
    <mergeCell ref="L25:M25"/>
    <mergeCell ref="N25:O25"/>
    <mergeCell ref="B27:D27"/>
    <mergeCell ref="E27:G27"/>
    <mergeCell ref="L27:O27"/>
    <mergeCell ref="C21:D21"/>
    <mergeCell ref="C22:D22"/>
    <mergeCell ref="C23:D23"/>
    <mergeCell ref="C24:D24"/>
    <mergeCell ref="L24:M24"/>
    <mergeCell ref="N24:O24"/>
    <mergeCell ref="C15:D15"/>
    <mergeCell ref="C16:D16"/>
    <mergeCell ref="C17:D17"/>
    <mergeCell ref="C18:D18"/>
    <mergeCell ref="C19:D19"/>
    <mergeCell ref="C20:D20"/>
    <mergeCell ref="C9:D9"/>
    <mergeCell ref="C10:D10"/>
    <mergeCell ref="C11:D11"/>
    <mergeCell ref="C12:D12"/>
    <mergeCell ref="C13:D13"/>
    <mergeCell ref="C14:D14"/>
    <mergeCell ref="B5:C5"/>
    <mergeCell ref="K5:K6"/>
    <mergeCell ref="L5:O5"/>
    <mergeCell ref="L6:O6"/>
    <mergeCell ref="C7:D7"/>
    <mergeCell ref="C8:D8"/>
    <mergeCell ref="E1:J1"/>
    <mergeCell ref="B2:C2"/>
    <mergeCell ref="F2:G2"/>
    <mergeCell ref="H2:I2"/>
    <mergeCell ref="L2:O2"/>
    <mergeCell ref="B3:C3"/>
    <mergeCell ref="F3:I5"/>
    <mergeCell ref="L3:O3"/>
    <mergeCell ref="B4:C4"/>
    <mergeCell ref="L4:O4"/>
  </mergeCells>
  <conditionalFormatting sqref="E37 B37">
    <cfRule type="expression" dxfId="41" priority="16">
      <formula>IF(AND($E$37&gt;0,$E$37=#REF!*1000),TRUE,FALSE)</formula>
    </cfRule>
  </conditionalFormatting>
  <conditionalFormatting sqref="B36:G36">
    <cfRule type="expression" dxfId="40" priority="15">
      <formula>IF($C$36="",TRUE,FALSE)</formula>
    </cfRule>
  </conditionalFormatting>
  <conditionalFormatting sqref="E8:E23">
    <cfRule type="expression" dxfId="39" priority="14">
      <formula>IF(E8&lt;&gt;"",IF(OR($E8&lt;1,E8&gt;9),TRUE,FALSE),FALSE)</formula>
    </cfRule>
  </conditionalFormatting>
  <conditionalFormatting sqref="F8:F23">
    <cfRule type="expression" dxfId="38" priority="13">
      <formula>IF($F8&lt;&gt;"",IF(OR($F8&lt;1,$F8&gt;8),TRUE,FALSE),FALSE)</formula>
    </cfRule>
  </conditionalFormatting>
  <conditionalFormatting sqref="G8:G23">
    <cfRule type="expression" dxfId="37" priority="12">
      <formula>IF($G8&lt;&gt;"",IF(OR($G8&lt;1,$G8&gt;6),TRUE,FALSE),FALSE)</formula>
    </cfRule>
  </conditionalFormatting>
  <conditionalFormatting sqref="H8:H23">
    <cfRule type="expression" dxfId="36" priority="11">
      <formula>IF(AND($H8&lt;&gt;"-",$H8&lt;&gt;""),IF(OR($H8&lt;1,$H8&gt;6),TRUE,FALSE),FALSE)</formula>
    </cfRule>
  </conditionalFormatting>
  <conditionalFormatting sqref="I8:I23">
    <cfRule type="expression" dxfId="35" priority="10">
      <formula>IF($I8&lt;&gt;"",IF(OR($I8&lt;3,$I8&gt;11),TRUE,FALSE),FALSE)</formula>
    </cfRule>
  </conditionalFormatting>
  <conditionalFormatting sqref="B27:G27">
    <cfRule type="expression" dxfId="34" priority="9">
      <formula>IF($E$27&lt;0, TRUE, FALSE)</formula>
    </cfRule>
  </conditionalFormatting>
  <conditionalFormatting sqref="B28">
    <cfRule type="expression" dxfId="33" priority="17">
      <formula>IF(AND($D$4&lt;&gt;"",$B$28=#REF!),TRUE,FALSE)</formula>
    </cfRule>
  </conditionalFormatting>
  <conditionalFormatting sqref="L2:O3">
    <cfRule type="notContainsBlanks" dxfId="32" priority="8">
      <formula>LEN(TRIM(L2))&gt;0</formula>
    </cfRule>
  </conditionalFormatting>
  <conditionalFormatting sqref="L8:O23">
    <cfRule type="expression" dxfId="31" priority="18">
      <formula>$L$5&lt;&gt;""</formula>
    </cfRule>
  </conditionalFormatting>
  <conditionalFormatting sqref="C24:C25">
    <cfRule type="expression" dxfId="30" priority="19">
      <formula>$AR$8</formula>
    </cfRule>
  </conditionalFormatting>
  <conditionalFormatting sqref="C8:C23">
    <cfRule type="expression" dxfId="29" priority="20">
      <formula>OR($L$2&lt;&gt;"", $L$3&lt;&gt;"")</formula>
    </cfRule>
  </conditionalFormatting>
  <conditionalFormatting sqref="L5:O5">
    <cfRule type="notContainsBlanks" dxfId="28" priority="7">
      <formula>LEN(TRIM(L5))&gt;0</formula>
    </cfRule>
  </conditionalFormatting>
  <conditionalFormatting sqref="B35:G35">
    <cfRule type="expression" dxfId="27" priority="21">
      <formula>IF($AH$11="No", TRUE, FALSE)</formula>
    </cfRule>
  </conditionalFormatting>
  <conditionalFormatting sqref="L27:O37">
    <cfRule type="expression" dxfId="26" priority="6">
      <formula>AND($L$24="",$L$25="")</formula>
    </cfRule>
  </conditionalFormatting>
  <conditionalFormatting sqref="B40:O40">
    <cfRule type="expression" dxfId="25" priority="5">
      <formula>$B$40=""</formula>
    </cfRule>
  </conditionalFormatting>
  <conditionalFormatting sqref="B39:O39">
    <cfRule type="expression" dxfId="24" priority="4">
      <formula>$B$39=""</formula>
    </cfRule>
  </conditionalFormatting>
  <conditionalFormatting sqref="L6:O6">
    <cfRule type="notContainsBlanks" dxfId="23" priority="3">
      <formula>LEN(TRIM(L6))&gt;0</formula>
    </cfRule>
  </conditionalFormatting>
  <conditionalFormatting sqref="J2">
    <cfRule type="expression" dxfId="22" priority="2">
      <formula>$L$6&lt;&gt;""</formula>
    </cfRule>
  </conditionalFormatting>
  <conditionalFormatting sqref="L4:O4">
    <cfRule type="notContainsBlanks" dxfId="21" priority="1">
      <formula>LEN(TRIM(L4))&gt;0</formula>
    </cfRule>
  </conditionalFormatting>
  <dataValidations count="12">
    <dataValidation type="list" allowBlank="1" showInputMessage="1" showErrorMessage="1" sqref="C24:D25" xr:uid="{F840871E-4757-4A4E-8823-EC12EBD1930D}">
      <formula1>$AQ$8:$AQ$30</formula1>
    </dataValidation>
    <dataValidation type="list" allowBlank="1" showInputMessage="1" showErrorMessage="1" sqref="L8:L23" xr:uid="{89EE32CE-D94B-4B5C-B5A3-7ABDC5B07FAB}">
      <formula1>$R$29:$R$31</formula1>
    </dataValidation>
    <dataValidation type="list" allowBlank="1" showInputMessage="1" showErrorMessage="1" sqref="N8:N23" xr:uid="{3F15D64E-87B1-4A92-8A77-3C7F5A145546}">
      <formula1>$R$29:$R$30</formula1>
    </dataValidation>
    <dataValidation type="list" allowBlank="1" showInputMessage="1" showErrorMessage="1" sqref="C8:C23" xr:uid="{969280D9-10E0-438F-BCAD-BD742980661D}">
      <formula1>$AK$8:$AK$24</formula1>
    </dataValidation>
    <dataValidation type="list" allowBlank="1" showInputMessage="1" showErrorMessage="1" sqref="B32" xr:uid="{B9D26CC6-53ED-43A1-9BFA-91DCBD94F078}">
      <formula1>$AI$8:$AI$10</formula1>
    </dataValidation>
    <dataValidation type="list" allowBlank="1" showInputMessage="1" showErrorMessage="1" sqref="B36 B34" xr:uid="{FF8C0275-3C85-4F91-BB48-FD1D1FA5DFE4}">
      <formula1>$AI$8:$AI$9</formula1>
    </dataValidation>
    <dataValidation type="list" allowBlank="1" showInputMessage="1" showErrorMessage="1" sqref="B29" xr:uid="{AFD11E28-94FC-4770-BFE3-2C83894FE4CE}">
      <formula1>$AI$8:$AI$16</formula1>
    </dataValidation>
    <dataValidation type="list" allowBlank="1" showInputMessage="1" showErrorMessage="1" sqref="B30 B28" xr:uid="{66038616-69EF-4159-A8F0-DE5D7FA0B06E}">
      <formula1>$AI$8:$AI$14</formula1>
    </dataValidation>
    <dataValidation type="list" allowBlank="1" showInputMessage="1" showErrorMessage="1" sqref="B35 B33" xr:uid="{A56208AB-8F47-4997-B0CB-CBC8E78D6035}">
      <formula1>$AI$8:$AI$11</formula1>
    </dataValidation>
    <dataValidation type="list" allowBlank="1" showInputMessage="1" showErrorMessage="1" sqref="B31" xr:uid="{4A0C0211-D9CB-4918-9051-2A9693135F2B}">
      <formula1>$AI$8:$AI$20</formula1>
    </dataValidation>
    <dataValidation type="list" allowBlank="1" showInputMessage="1" showErrorMessage="1" sqref="M8:M23" xr:uid="{03AFD30C-D57B-4109-BD53-77703C5B491B}">
      <formula1>INDIRECT(AD8)</formula1>
    </dataValidation>
    <dataValidation type="list" allowBlank="1" showInputMessage="1" showErrorMessage="1" sqref="O8:O23" xr:uid="{9CCCE9A7-CC34-496A-BD0F-1F232C007FD5}">
      <formula1>INDIRECT(AE8)</formula1>
    </dataValidation>
  </dataValidations>
  <printOptions horizontalCentered="1" verticalCentered="1"/>
  <pageMargins left="0.23622047244094491" right="0.23622047244094491" top="0.23622047244094491" bottom="0.23622047244094491" header="0.31496062992125984" footer="0.31496062992125984"/>
  <pageSetup paperSize="9" scale="60" orientation="landscape" r:id="rId1"/>
  <colBreaks count="1" manualBreakCount="1">
    <brk id="16" max="1048575" man="1"/>
  </colBreaks>
  <drawing r:id="rId2"/>
  <extLst>
    <ext xmlns:x14="http://schemas.microsoft.com/office/spreadsheetml/2009/9/main" uri="{CCE6A557-97BC-4b89-ADB6-D9C93CAAB3DF}">
      <x14:dataValidations xmlns:xm="http://schemas.microsoft.com/office/excel/2006/main" count="2">
        <x14:dataValidation type="list" showInputMessage="1" showErrorMessage="1" xr:uid="{91D8C784-49BF-44E2-9BBD-B07FC4340AE9}">
          <x14:formula1>
            <xm:f>Teams!$B$1:$B$31</xm:f>
          </x14:formula1>
          <xm:sqref>D2</xm:sqref>
        </x14:dataValidation>
        <x14:dataValidation type="list" showInputMessage="1" showErrorMessage="1" xr:uid="{A687DB16-5BD3-490F-B047-2D3C2C06915D}">
          <x14:formula1>
            <xm:f>INDIRECT("Skill_Packs!$B$" &amp; MATCH(F2,Skill_Packs!A1:A6,0) &amp; ":$E$" &amp; MATCH(F2,Skill_Packs!A1:A6,0))</xm:f>
          </x14:formula1>
          <xm:sqref>J2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234F5-EB25-440B-A397-9B1C607D3337}">
  <sheetPr>
    <pageSetUpPr fitToPage="1"/>
  </sheetPr>
  <dimension ref="A1:AR76"/>
  <sheetViews>
    <sheetView showRowColHeaders="0" showZeros="0" zoomScale="80" zoomScaleNormal="80" workbookViewId="0"/>
  </sheetViews>
  <sheetFormatPr defaultColWidth="0" defaultRowHeight="15" customHeight="1" zeroHeight="1" x14ac:dyDescent="0.25"/>
  <cols>
    <col min="1" max="1" width="2.28515625" style="6" customWidth="1"/>
    <col min="2" max="2" width="3.85546875" style="123" bestFit="1" customWidth="1"/>
    <col min="3" max="3" width="20.7109375" customWidth="1"/>
    <col min="4" max="4" width="23.85546875" customWidth="1"/>
    <col min="5" max="9" width="4.7109375" style="3" customWidth="1"/>
    <col min="10" max="10" width="73" customWidth="1"/>
    <col min="11" max="11" width="12.85546875" customWidth="1"/>
    <col min="12" max="12" width="15.7109375" customWidth="1"/>
    <col min="13" max="13" width="22.85546875" customWidth="1"/>
    <col min="14" max="14" width="15.7109375" customWidth="1"/>
    <col min="15" max="15" width="22.85546875" customWidth="1"/>
    <col min="16" max="16" width="2.28515625" customWidth="1"/>
    <col min="17" max="17" width="11.42578125" style="1" hidden="1" customWidth="1"/>
    <col min="18" max="19" width="11.42578125" hidden="1" customWidth="1"/>
    <col min="20" max="20" width="11.42578125" style="1" hidden="1" customWidth="1"/>
    <col min="21" max="22" width="11.42578125" hidden="1" customWidth="1"/>
    <col min="23" max="23" width="11.42578125" style="1" hidden="1" customWidth="1"/>
    <col min="24" max="25" width="11.42578125" hidden="1" customWidth="1"/>
    <col min="26" max="26" width="11.42578125" style="1" hidden="1" customWidth="1"/>
    <col min="27" max="28" width="11.42578125" hidden="1" customWidth="1"/>
    <col min="29" max="29" width="11.42578125" style="1" hidden="1" customWidth="1"/>
    <col min="30" max="31" width="11.42578125" style="6" hidden="1" customWidth="1"/>
    <col min="32" max="32" width="14" style="6" hidden="1" customWidth="1"/>
    <col min="33" max="35" width="11.42578125" style="6" hidden="1" customWidth="1"/>
    <col min="36" max="38" width="14.5703125" style="6" hidden="1" customWidth="1"/>
    <col min="39" max="44" width="14.5703125" hidden="1" customWidth="1"/>
    <col min="45" max="16384" width="11.42578125" hidden="1"/>
  </cols>
  <sheetData>
    <row r="1" spans="1:44" s="6" customFormat="1" ht="12.6" customHeight="1" thickBot="1" x14ac:dyDescent="0.3">
      <c r="A1"/>
      <c r="B1" s="22"/>
      <c r="E1" s="325"/>
      <c r="F1" s="325"/>
      <c r="G1" s="325"/>
      <c r="H1" s="325"/>
      <c r="I1" s="325"/>
      <c r="J1" s="325"/>
      <c r="Q1" s="16"/>
      <c r="T1" s="16"/>
      <c r="W1" s="16"/>
      <c r="Z1" s="16"/>
      <c r="AC1" s="16"/>
    </row>
    <row r="2" spans="1:44" s="6" customFormat="1" ht="15" customHeight="1" thickBot="1" x14ac:dyDescent="0.3">
      <c r="B2" s="316" t="s">
        <v>526</v>
      </c>
      <c r="C2" s="317"/>
      <c r="D2" s="272" t="s">
        <v>841</v>
      </c>
      <c r="F2" s="330" t="str">
        <f>"Tier " &amp; IFERROR(VLOOKUP($D$2,Teams!$B$2:'Teams'!$I$31,8,FALSE),"")</f>
        <v xml:space="preserve">Tier </v>
      </c>
      <c r="G2" s="331"/>
      <c r="H2" s="332" t="s">
        <v>894</v>
      </c>
      <c r="I2" s="332"/>
      <c r="J2" s="268" t="s">
        <v>951</v>
      </c>
      <c r="L2" s="322" t="str">
        <f>IF($AO$8,"Too many players of a player type!","")</f>
        <v/>
      </c>
      <c r="M2" s="322"/>
      <c r="N2" s="322"/>
      <c r="O2" s="322"/>
    </row>
    <row r="3" spans="1:44" s="6" customFormat="1" ht="15" customHeight="1" x14ac:dyDescent="0.25">
      <c r="B3" s="318" t="s">
        <v>0</v>
      </c>
      <c r="C3" s="319"/>
      <c r="D3" s="273"/>
      <c r="F3" s="333" t="s">
        <v>896</v>
      </c>
      <c r="G3" s="334"/>
      <c r="H3" s="334"/>
      <c r="I3" s="334"/>
      <c r="J3" s="269" t="str">
        <f>COUNTIF(L8:L23,"Primary Skill") + U33 &amp; " Primary Skills"</f>
        <v>0 Primary Skills</v>
      </c>
      <c r="K3"/>
      <c r="L3" s="322" t="str">
        <f>IFERROR(IF(AM8&gt;AH10,"Too many Big Guys rostered!",""),"")</f>
        <v/>
      </c>
      <c r="M3" s="322"/>
      <c r="N3" s="322"/>
      <c r="O3" s="322"/>
    </row>
    <row r="4" spans="1:44" s="6" customFormat="1" ht="15" customHeight="1" x14ac:dyDescent="0.25">
      <c r="B4" s="318" t="s">
        <v>2</v>
      </c>
      <c r="C4" s="319"/>
      <c r="D4" s="273"/>
      <c r="F4" s="335"/>
      <c r="G4" s="336"/>
      <c r="H4" s="336"/>
      <c r="I4" s="336"/>
      <c r="J4" s="270" t="str">
        <f>COUNTIF(L8:L23,"Secondary Skill") &amp; " Secondary Skills"</f>
        <v>0 Secondary Skills</v>
      </c>
      <c r="L4" s="322" t="str">
        <f>IFERROR(IF($AR$8,"A Star Player can only be selected once! ",""),"") &amp; IF(COUNTBLANK(E8:E25)&lt;2,"Maximum 16 players!","")</f>
        <v/>
      </c>
      <c r="M4" s="322"/>
      <c r="N4" s="322"/>
      <c r="O4" s="322"/>
    </row>
    <row r="5" spans="1:44" s="6" customFormat="1" ht="15" customHeight="1" thickBot="1" x14ac:dyDescent="0.3">
      <c r="B5" s="320" t="s">
        <v>964</v>
      </c>
      <c r="C5" s="321"/>
      <c r="D5" s="274"/>
      <c r="F5" s="337"/>
      <c r="G5" s="338"/>
      <c r="H5" s="338"/>
      <c r="I5" s="338"/>
      <c r="J5" s="271" t="str">
        <f>COUNTIF(N8:N23,"Primary Skill") &amp;" Stacked Skills"</f>
        <v>0 Stacked Skills</v>
      </c>
      <c r="K5" s="323"/>
      <c r="L5" s="322" t="str">
        <f>IFERROR(IF($Y$29,"Incorrect number of skills! ",""),"") &amp; IF(AND(B33&gt;=1,COUNTIF(L8:O23,"Sneaky Git")&gt;=1),"No Bribe and Sneaky Git!","")</f>
        <v/>
      </c>
      <c r="M5" s="322"/>
      <c r="N5" s="322"/>
      <c r="O5" s="322"/>
    </row>
    <row r="6" spans="1:44" s="6" customFormat="1" ht="15" customHeight="1" thickBot="1" x14ac:dyDescent="0.3">
      <c r="B6" s="22"/>
      <c r="K6" s="324"/>
      <c r="L6" s="322" t="str">
        <f>IF(OR(AND(OR(AND(C24&lt;&gt;"",C24&lt;&gt;"Select Star Player"),AND(C25&lt;&gt;"",C25&lt;&gt;"Select Star Player")),ISNUMBER(FIND("Star Player",J2))=FALSE),AND(AND(AND(C24&lt;&gt;"",C24&lt;&gt;"Select Star Player"),AND(C25&lt;&gt;"",C25&lt;&gt;"Select Star Player")),ISNUMBER(FIND("Star Players",J2))=FALSE)),"Select a Skill Pack that allows this number of Star Players!","")</f>
        <v/>
      </c>
      <c r="M6" s="322"/>
      <c r="N6" s="322"/>
      <c r="O6" s="322"/>
      <c r="R6" s="212" t="s">
        <v>898</v>
      </c>
      <c r="S6" s="213"/>
      <c r="T6" s="213"/>
      <c r="U6" s="213"/>
      <c r="V6" s="213"/>
      <c r="W6" s="213"/>
      <c r="X6" s="213"/>
      <c r="Y6" s="216"/>
      <c r="Z6" s="212" t="s">
        <v>899</v>
      </c>
      <c r="AA6" s="213"/>
      <c r="AB6" s="213"/>
      <c r="AC6" s="213"/>
      <c r="AD6" s="212" t="s">
        <v>905</v>
      </c>
      <c r="AE6" s="217"/>
      <c r="AF6" s="218"/>
      <c r="AG6" s="212" t="s">
        <v>908</v>
      </c>
      <c r="AH6" s="216"/>
      <c r="AI6" s="212" t="s">
        <v>913</v>
      </c>
      <c r="AJ6" s="213"/>
      <c r="AK6" s="213"/>
      <c r="AL6" s="213"/>
      <c r="AM6" s="213"/>
      <c r="AN6" s="213"/>
      <c r="AO6" s="213"/>
      <c r="AP6" s="213"/>
      <c r="AQ6" s="213"/>
      <c r="AR6" s="216"/>
    </row>
    <row r="7" spans="1:44" s="5" customFormat="1" ht="23.25" customHeight="1" thickBot="1" x14ac:dyDescent="0.3">
      <c r="A7" s="7"/>
      <c r="B7" s="234" t="s">
        <v>3</v>
      </c>
      <c r="C7" s="356" t="s">
        <v>823</v>
      </c>
      <c r="D7" s="357"/>
      <c r="E7" s="235" t="s">
        <v>5</v>
      </c>
      <c r="F7" s="235" t="s">
        <v>6</v>
      </c>
      <c r="G7" s="235" t="s">
        <v>7</v>
      </c>
      <c r="H7" s="235" t="s">
        <v>8</v>
      </c>
      <c r="I7" s="235" t="s">
        <v>9</v>
      </c>
      <c r="J7" s="166" t="s">
        <v>320</v>
      </c>
      <c r="K7" s="165" t="s">
        <v>879</v>
      </c>
      <c r="L7" s="234" t="s">
        <v>917</v>
      </c>
      <c r="M7" s="235" t="s">
        <v>27</v>
      </c>
      <c r="N7" s="234" t="s">
        <v>918</v>
      </c>
      <c r="O7" s="166" t="s">
        <v>27</v>
      </c>
      <c r="P7" s="6"/>
      <c r="Q7" s="7"/>
      <c r="R7" s="189" t="s">
        <v>306</v>
      </c>
      <c r="S7" s="190" t="s">
        <v>307</v>
      </c>
      <c r="T7" s="191" t="s">
        <v>523</v>
      </c>
      <c r="U7" s="192"/>
      <c r="V7" s="192"/>
      <c r="W7" s="192"/>
      <c r="X7" s="192"/>
      <c r="Y7" s="193"/>
      <c r="Z7" s="194" t="s">
        <v>920</v>
      </c>
      <c r="AA7" s="191" t="s">
        <v>919</v>
      </c>
      <c r="AB7" s="191" t="s">
        <v>933</v>
      </c>
      <c r="AC7" s="192"/>
      <c r="AD7" s="189" t="s">
        <v>906</v>
      </c>
      <c r="AE7" s="190" t="s">
        <v>907</v>
      </c>
      <c r="AF7" s="190"/>
      <c r="AG7" s="194" t="s">
        <v>900</v>
      </c>
      <c r="AH7" s="187" t="e">
        <f>VLOOKUP($D$2,Teams!$B$2:$C$31,2,FALSE)</f>
        <v>#N/A</v>
      </c>
      <c r="AI7" s="236" t="s">
        <v>3</v>
      </c>
      <c r="AJ7" s="195" t="s">
        <v>910</v>
      </c>
      <c r="AK7" s="195" t="s">
        <v>911</v>
      </c>
      <c r="AL7" s="195" t="s">
        <v>909</v>
      </c>
      <c r="AM7" s="195" t="s">
        <v>929</v>
      </c>
      <c r="AN7" s="195" t="s">
        <v>912</v>
      </c>
      <c r="AO7" s="196" t="s">
        <v>927</v>
      </c>
      <c r="AP7" s="219" t="s">
        <v>3</v>
      </c>
      <c r="AQ7" s="298" t="s">
        <v>840</v>
      </c>
      <c r="AR7" s="299" t="s">
        <v>928</v>
      </c>
    </row>
    <row r="8" spans="1:44" s="2" customFormat="1" ht="24" customHeight="1" x14ac:dyDescent="0.25">
      <c r="A8" s="8"/>
      <c r="B8" s="31">
        <v>1</v>
      </c>
      <c r="C8" s="351"/>
      <c r="D8" s="352"/>
      <c r="E8" s="32" t="str">
        <f t="shared" ref="E8:E23" si="0">IFERROR(VLOOKUP($C8,PlayerList,5,FALSE),"")</f>
        <v/>
      </c>
      <c r="F8" s="32" t="str">
        <f t="shared" ref="F8:F23" si="1">IFERROR(VLOOKUP($C8,PlayerList,6,FALSE),"")</f>
        <v/>
      </c>
      <c r="G8" s="68" t="str">
        <f t="shared" ref="G8:G23" si="2">IFERROR(VLOOKUP($C8,PlayerList,7,FALSE),"")</f>
        <v/>
      </c>
      <c r="H8" s="68" t="str">
        <f t="shared" ref="H8:H23" si="3">IFERROR(VLOOKUP($C8,PlayerList,8,FALSE),"")</f>
        <v/>
      </c>
      <c r="I8" s="68" t="str">
        <f t="shared" ref="I8:I23" si="4">IFERROR(VLOOKUP($C8,PlayerList,9,FALSE),"")</f>
        <v/>
      </c>
      <c r="J8" s="275" t="str">
        <f t="shared" ref="J8:J23" si="5">IF(M8&lt;&gt;"",CONCATENATE(IF(T8="None","",T8&amp;", "),M8,IF(O8="","",", "),O8),T8)</f>
        <v/>
      </c>
      <c r="K8" s="256" t="str">
        <f t="shared" ref="K8:K23" si="6">IFERROR(1000*IF(VLOOKUP($C8,PlayerList,4,FALSE)&lt;0,-VLOOKUP($C8,PlayerList,4,FALSE),VLOOKUP($C8,PlayerList,4,FALSE)),"")</f>
        <v/>
      </c>
      <c r="L8" s="260"/>
      <c r="M8" s="261"/>
      <c r="N8" s="260"/>
      <c r="O8" s="262"/>
      <c r="P8" s="6"/>
      <c r="Q8" s="8"/>
      <c r="R8" s="170" t="str">
        <f>IFERROR(VLOOKUP($C8,PlayerList,11,FALSE),"")</f>
        <v/>
      </c>
      <c r="S8" s="168" t="str">
        <f t="shared" ref="S8:S23" si="7">IFERROR(VLOOKUP($C8,PlayerList,12,FALSE),"")</f>
        <v/>
      </c>
      <c r="T8" s="168" t="str">
        <f t="shared" ref="T8:T23" si="8">IFERROR(VLOOKUP($C8,PlayerList,10,FALSE),"")</f>
        <v/>
      </c>
      <c r="U8" s="168"/>
      <c r="V8" s="168"/>
      <c r="W8" s="168"/>
      <c r="X8" s="168"/>
      <c r="Y8" s="171"/>
      <c r="Z8" s="170" t="e">
        <f t="shared" ref="Z8:AA23" si="9">HLOOKUP(R8,$S$36:$AN$37,2,FALSE)</f>
        <v>#N/A</v>
      </c>
      <c r="AA8" s="168" t="e">
        <f t="shared" si="9"/>
        <v>#N/A</v>
      </c>
      <c r="AB8" s="168" t="str">
        <f t="shared" ref="AB8:AB23" si="10">$R$37</f>
        <v>$R$38:$R$52</v>
      </c>
      <c r="AC8" s="168"/>
      <c r="AD8" s="170" t="e">
        <f>HLOOKUP(L8,$Z$7:$AB$23,ROW()-6,FALSE)</f>
        <v>#N/A</v>
      </c>
      <c r="AE8" s="168" t="e">
        <f>HLOOKUP(N8,$Z$7:$AB$23,ROW()-6,FALSE)</f>
        <v>#N/A</v>
      </c>
      <c r="AF8" s="168"/>
      <c r="AG8" s="194" t="s">
        <v>902</v>
      </c>
      <c r="AH8" s="187" t="e">
        <f>VLOOKUP($D$2,Teams!$B$2:$H$31,7,FALSE)</f>
        <v>#N/A</v>
      </c>
      <c r="AI8" s="221">
        <v>0</v>
      </c>
      <c r="AJ8" s="179"/>
      <c r="AK8" s="179"/>
      <c r="AL8" s="179"/>
      <c r="AM8" s="179">
        <f>COUNTIFS(AM9:AM25,"BG",AN9:AN25,1)</f>
        <v>0</v>
      </c>
      <c r="AN8" s="179">
        <f>SUM(AN9:AN24)</f>
        <v>0</v>
      </c>
      <c r="AO8" s="184" t="b">
        <f>OR(AO9:AO19)</f>
        <v>0</v>
      </c>
      <c r="AP8" s="220">
        <v>0</v>
      </c>
      <c r="AQ8" s="168" t="str">
        <f>IFERROR(IF(HLOOKUP($AH$8,STARS,$AP8+2,FALSE)="","",HLOOKUP($AH$8,STARS,$AP8+2,FALSE)),"Select Star Player")</f>
        <v>Select Star Player</v>
      </c>
      <c r="AR8" s="185" t="b">
        <f>OR(AR9:AR25)</f>
        <v>0</v>
      </c>
    </row>
    <row r="9" spans="1:44" s="2" customFormat="1" ht="24" customHeight="1" x14ac:dyDescent="0.25">
      <c r="A9" s="8"/>
      <c r="B9" s="9">
        <v>2</v>
      </c>
      <c r="C9" s="347"/>
      <c r="D9" s="348"/>
      <c r="E9" s="32" t="str">
        <f t="shared" si="0"/>
        <v/>
      </c>
      <c r="F9" s="32" t="str">
        <f t="shared" si="1"/>
        <v/>
      </c>
      <c r="G9" s="68" t="str">
        <f t="shared" si="2"/>
        <v/>
      </c>
      <c r="H9" s="68" t="str">
        <f t="shared" si="3"/>
        <v/>
      </c>
      <c r="I9" s="68" t="str">
        <f t="shared" si="4"/>
        <v/>
      </c>
      <c r="J9" s="275" t="str">
        <f t="shared" si="5"/>
        <v/>
      </c>
      <c r="K9" s="256" t="str">
        <f t="shared" si="6"/>
        <v/>
      </c>
      <c r="L9" s="260"/>
      <c r="M9" s="263"/>
      <c r="N9" s="260"/>
      <c r="O9" s="264"/>
      <c r="P9" s="6"/>
      <c r="Q9" s="8"/>
      <c r="R9" s="170" t="str">
        <f>IFERROR(VLOOKUP($C9,PlayerList,11,FALSE),"")</f>
        <v/>
      </c>
      <c r="S9" s="168" t="str">
        <f t="shared" si="7"/>
        <v/>
      </c>
      <c r="T9" s="168" t="str">
        <f t="shared" si="8"/>
        <v/>
      </c>
      <c r="U9" s="168"/>
      <c r="V9" s="168"/>
      <c r="W9" s="168"/>
      <c r="X9" s="168"/>
      <c r="Y9" s="171"/>
      <c r="Z9" s="170" t="e">
        <f t="shared" si="9"/>
        <v>#N/A</v>
      </c>
      <c r="AA9" s="168" t="e">
        <f t="shared" si="9"/>
        <v>#N/A</v>
      </c>
      <c r="AB9" s="168" t="str">
        <f t="shared" si="10"/>
        <v>$R$38:$R$52</v>
      </c>
      <c r="AC9" s="168"/>
      <c r="AD9" s="170" t="e">
        <f t="shared" ref="AD9:AD23" si="11">HLOOKUP(L9,$Z$7:$AB$23,ROW()-6,FALSE)</f>
        <v>#N/A</v>
      </c>
      <c r="AE9" s="168" t="e">
        <f t="shared" ref="AE9:AE23" si="12">HLOOKUP(N9,$Z$7:$AB$23,ROW()-6,FALSE)</f>
        <v>#N/A</v>
      </c>
      <c r="AF9" s="168"/>
      <c r="AG9" s="194" t="s">
        <v>903</v>
      </c>
      <c r="AH9" s="187" t="e">
        <f>VLOOKUP($D$2,Teams!$B$2:$D$31,3,FALSE)</f>
        <v>#N/A</v>
      </c>
      <c r="AI9" s="221">
        <v>1</v>
      </c>
      <c r="AJ9" s="197" t="e">
        <f t="shared" ref="AJ9:AJ24" si="13">IF(AI9&lt;=$AH$9,CONCATENATE($AH$7,IF(AI9&lt;10,"0",""),AI9),"")</f>
        <v>#N/A</v>
      </c>
      <c r="AK9" s="197" t="str">
        <f t="shared" ref="AK9:AK24" si="14">IFERROR(VLOOKUP(AJ9,PLAYERS,2,FALSE),"")</f>
        <v/>
      </c>
      <c r="AL9" s="197" t="str">
        <f t="shared" ref="AL9:AL24" si="15">IFERROR(VLOOKUP(AJ9,PLAYERS,3,FALSE),"")</f>
        <v/>
      </c>
      <c r="AM9" s="197" t="str">
        <f t="shared" ref="AM9:AM24" si="16">IF(AK9&lt;&gt;"",VLOOKUP(AJ9,PLAYERS,4,FALSE),"")</f>
        <v/>
      </c>
      <c r="AN9" s="197" t="str">
        <f t="shared" ref="AN9:AN24" si="17">IF(AK9&lt;&gt;"",COUNTIF($C$8:$C$23,AK9),"")</f>
        <v/>
      </c>
      <c r="AO9" s="197" t="b">
        <f t="shared" ref="AO9:AO19" si="18">IF(AN9&gt;AL9,TRUE,FALSE)</f>
        <v>0</v>
      </c>
      <c r="AP9" s="221">
        <v>1</v>
      </c>
      <c r="AQ9" s="168" t="str">
        <f t="shared" ref="AQ9:AQ38" si="19">IFERROR(IF(HLOOKUP($AH$8,STARS,$AP9+2,FALSE)="","",HLOOKUP($AH$8,STARS,$AP9+2,FALSE)),"")</f>
        <v/>
      </c>
      <c r="AR9" s="171" t="b">
        <f>IF(IF(AND(AQ8&lt;&gt;"",AQ8&lt;&gt;"Select Star Player"),COUNTIF($C$24:$C$25,AQ8),0)&gt;1,TRUE,FALSE)</f>
        <v>0</v>
      </c>
    </row>
    <row r="10" spans="1:44" s="2" customFormat="1" ht="24" customHeight="1" x14ac:dyDescent="0.25">
      <c r="A10" s="8"/>
      <c r="B10" s="9">
        <v>3</v>
      </c>
      <c r="C10" s="347"/>
      <c r="D10" s="348"/>
      <c r="E10" s="32" t="str">
        <f t="shared" si="0"/>
        <v/>
      </c>
      <c r="F10" s="32" t="str">
        <f t="shared" si="1"/>
        <v/>
      </c>
      <c r="G10" s="68" t="str">
        <f t="shared" si="2"/>
        <v/>
      </c>
      <c r="H10" s="68" t="str">
        <f t="shared" si="3"/>
        <v/>
      </c>
      <c r="I10" s="68" t="str">
        <f t="shared" si="4"/>
        <v/>
      </c>
      <c r="J10" s="275" t="str">
        <f t="shared" si="5"/>
        <v/>
      </c>
      <c r="K10" s="256" t="str">
        <f t="shared" si="6"/>
        <v/>
      </c>
      <c r="L10" s="260"/>
      <c r="M10" s="263"/>
      <c r="N10" s="260"/>
      <c r="O10" s="264"/>
      <c r="P10" s="6"/>
      <c r="Q10" s="8"/>
      <c r="R10" s="170" t="str">
        <f>IFERROR(VLOOKUP($C10,PlayerList,11,FALSE),"")</f>
        <v/>
      </c>
      <c r="S10" s="168" t="str">
        <f t="shared" si="7"/>
        <v/>
      </c>
      <c r="T10" s="168" t="str">
        <f t="shared" si="8"/>
        <v/>
      </c>
      <c r="U10" s="168"/>
      <c r="V10" s="168"/>
      <c r="W10" s="168"/>
      <c r="X10" s="168"/>
      <c r="Y10" s="171"/>
      <c r="Z10" s="170" t="e">
        <f t="shared" si="9"/>
        <v>#N/A</v>
      </c>
      <c r="AA10" s="168" t="e">
        <f t="shared" si="9"/>
        <v>#N/A</v>
      </c>
      <c r="AB10" s="168" t="str">
        <f t="shared" si="10"/>
        <v>$R$38:$R$52</v>
      </c>
      <c r="AC10" s="168"/>
      <c r="AD10" s="170" t="e">
        <f t="shared" si="11"/>
        <v>#N/A</v>
      </c>
      <c r="AE10" s="168" t="e">
        <f t="shared" si="12"/>
        <v>#N/A</v>
      </c>
      <c r="AF10" s="168"/>
      <c r="AG10" s="194" t="s">
        <v>904</v>
      </c>
      <c r="AH10" s="187" t="e">
        <f>VLOOKUP($D$2,Teams!$B$2:$E$31,4,FALSE)</f>
        <v>#N/A</v>
      </c>
      <c r="AI10" s="221">
        <v>2</v>
      </c>
      <c r="AJ10" s="197" t="e">
        <f t="shared" si="13"/>
        <v>#N/A</v>
      </c>
      <c r="AK10" s="197" t="str">
        <f t="shared" si="14"/>
        <v/>
      </c>
      <c r="AL10" s="197" t="str">
        <f t="shared" si="15"/>
        <v/>
      </c>
      <c r="AM10" s="197" t="str">
        <f t="shared" si="16"/>
        <v/>
      </c>
      <c r="AN10" s="197" t="str">
        <f t="shared" si="17"/>
        <v/>
      </c>
      <c r="AO10" s="197" t="b">
        <f t="shared" si="18"/>
        <v>0</v>
      </c>
      <c r="AP10" s="221">
        <v>2</v>
      </c>
      <c r="AQ10" s="168" t="str">
        <f t="shared" si="19"/>
        <v/>
      </c>
      <c r="AR10" s="171" t="b">
        <f t="shared" ref="AR10:AR38" si="20">IF(IF(AND(AQ9&lt;&gt;"",AQ9&lt;&gt;"Select Team to see available Star Players"),COUNTIF($C$24:$C$25,AQ9),0)&gt;1,TRUE,FALSE)</f>
        <v>0</v>
      </c>
    </row>
    <row r="11" spans="1:44" s="2" customFormat="1" ht="24" customHeight="1" x14ac:dyDescent="0.25">
      <c r="A11" s="8"/>
      <c r="B11" s="9">
        <v>4</v>
      </c>
      <c r="C11" s="347"/>
      <c r="D11" s="348"/>
      <c r="E11" s="32" t="str">
        <f t="shared" si="0"/>
        <v/>
      </c>
      <c r="F11" s="32" t="str">
        <f t="shared" si="1"/>
        <v/>
      </c>
      <c r="G11" s="68" t="str">
        <f t="shared" si="2"/>
        <v/>
      </c>
      <c r="H11" s="68" t="str">
        <f t="shared" si="3"/>
        <v/>
      </c>
      <c r="I11" s="68" t="str">
        <f t="shared" si="4"/>
        <v/>
      </c>
      <c r="J11" s="275" t="str">
        <f t="shared" si="5"/>
        <v/>
      </c>
      <c r="K11" s="256" t="str">
        <f t="shared" si="6"/>
        <v/>
      </c>
      <c r="L11" s="260"/>
      <c r="M11" s="263"/>
      <c r="N11" s="260"/>
      <c r="O11" s="264"/>
      <c r="P11" s="6"/>
      <c r="Q11" s="8"/>
      <c r="R11" s="170" t="str">
        <f t="shared" ref="R11:R23" si="21">IFERROR(VLOOKUP($C11,PlayerList,11,FALSE),"")</f>
        <v/>
      </c>
      <c r="S11" s="168" t="str">
        <f t="shared" si="7"/>
        <v/>
      </c>
      <c r="T11" s="168" t="str">
        <f t="shared" si="8"/>
        <v/>
      </c>
      <c r="U11" s="168"/>
      <c r="V11" s="168"/>
      <c r="W11" s="168"/>
      <c r="X11" s="168"/>
      <c r="Y11" s="171"/>
      <c r="Z11" s="170" t="e">
        <f t="shared" si="9"/>
        <v>#N/A</v>
      </c>
      <c r="AA11" s="168" t="e">
        <f t="shared" si="9"/>
        <v>#N/A</v>
      </c>
      <c r="AB11" s="168" t="str">
        <f t="shared" si="10"/>
        <v>$R$38:$R$52</v>
      </c>
      <c r="AC11" s="168"/>
      <c r="AD11" s="170" t="e">
        <f t="shared" si="11"/>
        <v>#N/A</v>
      </c>
      <c r="AE11" s="168" t="e">
        <f t="shared" si="12"/>
        <v>#N/A</v>
      </c>
      <c r="AF11" s="168"/>
      <c r="AG11" s="194" t="s">
        <v>677</v>
      </c>
      <c r="AH11" s="187" t="str">
        <f>IFERROR(VLOOKUP($D$2,Teams!$B$2:'Teams'!$I$31,6,FALSE),"-")</f>
        <v>-</v>
      </c>
      <c r="AI11" s="221">
        <v>3</v>
      </c>
      <c r="AJ11" s="197" t="e">
        <f t="shared" si="13"/>
        <v>#N/A</v>
      </c>
      <c r="AK11" s="197" t="str">
        <f t="shared" si="14"/>
        <v/>
      </c>
      <c r="AL11" s="197" t="str">
        <f t="shared" si="15"/>
        <v/>
      </c>
      <c r="AM11" s="197" t="str">
        <f t="shared" si="16"/>
        <v/>
      </c>
      <c r="AN11" s="197" t="str">
        <f t="shared" si="17"/>
        <v/>
      </c>
      <c r="AO11" s="197" t="b">
        <f t="shared" si="18"/>
        <v>0</v>
      </c>
      <c r="AP11" s="221">
        <v>3</v>
      </c>
      <c r="AQ11" s="168" t="str">
        <f t="shared" si="19"/>
        <v/>
      </c>
      <c r="AR11" s="171" t="b">
        <f t="shared" si="20"/>
        <v>0</v>
      </c>
    </row>
    <row r="12" spans="1:44" s="2" customFormat="1" ht="24" customHeight="1" x14ac:dyDescent="0.25">
      <c r="A12" s="8"/>
      <c r="B12" s="9">
        <v>5</v>
      </c>
      <c r="C12" s="347"/>
      <c r="D12" s="348"/>
      <c r="E12" s="32" t="str">
        <f t="shared" si="0"/>
        <v/>
      </c>
      <c r="F12" s="32" t="str">
        <f t="shared" si="1"/>
        <v/>
      </c>
      <c r="G12" s="68" t="str">
        <f t="shared" si="2"/>
        <v/>
      </c>
      <c r="H12" s="68" t="str">
        <f t="shared" si="3"/>
        <v/>
      </c>
      <c r="I12" s="68" t="str">
        <f t="shared" si="4"/>
        <v/>
      </c>
      <c r="J12" s="275" t="str">
        <f t="shared" si="5"/>
        <v/>
      </c>
      <c r="K12" s="256" t="str">
        <f t="shared" si="6"/>
        <v/>
      </c>
      <c r="L12" s="260"/>
      <c r="M12" s="263"/>
      <c r="N12" s="260"/>
      <c r="O12" s="264"/>
      <c r="P12" s="6"/>
      <c r="Q12" s="8"/>
      <c r="R12" s="170" t="str">
        <f t="shared" si="21"/>
        <v/>
      </c>
      <c r="S12" s="168" t="str">
        <f t="shared" si="7"/>
        <v/>
      </c>
      <c r="T12" s="168" t="str">
        <f t="shared" si="8"/>
        <v/>
      </c>
      <c r="U12" s="168"/>
      <c r="V12" s="168"/>
      <c r="W12" s="168"/>
      <c r="X12" s="168"/>
      <c r="Y12" s="171"/>
      <c r="Z12" s="170" t="e">
        <f t="shared" si="9"/>
        <v>#N/A</v>
      </c>
      <c r="AA12" s="168" t="e">
        <f t="shared" si="9"/>
        <v>#N/A</v>
      </c>
      <c r="AB12" s="168" t="str">
        <f t="shared" si="10"/>
        <v>$R$38:$R$52</v>
      </c>
      <c r="AC12" s="168"/>
      <c r="AD12" s="170" t="e">
        <f t="shared" si="11"/>
        <v>#N/A</v>
      </c>
      <c r="AE12" s="168" t="e">
        <f t="shared" si="12"/>
        <v>#N/A</v>
      </c>
      <c r="AF12" s="168"/>
      <c r="AG12" s="194" t="s">
        <v>914</v>
      </c>
      <c r="AH12" s="171" t="str">
        <f>IF(ISNUMBER(SEARCH("LCL",$AH$8)),"Riotous Rookies",IF(ISNUMBER(SEARCH("NGL",$AH$8)),"Plague Doctor",IF(ISNUMBER(SEARCH("SSL",$AH$8)),"Mortuary Assistant","")))</f>
        <v/>
      </c>
      <c r="AI12" s="221">
        <v>4</v>
      </c>
      <c r="AJ12" s="197" t="e">
        <f t="shared" si="13"/>
        <v>#N/A</v>
      </c>
      <c r="AK12" s="197" t="str">
        <f t="shared" si="14"/>
        <v/>
      </c>
      <c r="AL12" s="197" t="str">
        <f t="shared" si="15"/>
        <v/>
      </c>
      <c r="AM12" s="197" t="str">
        <f t="shared" si="16"/>
        <v/>
      </c>
      <c r="AN12" s="197" t="str">
        <f t="shared" si="17"/>
        <v/>
      </c>
      <c r="AO12" s="197" t="b">
        <f t="shared" si="18"/>
        <v>0</v>
      </c>
      <c r="AP12" s="221">
        <v>4</v>
      </c>
      <c r="AQ12" s="168" t="str">
        <f t="shared" si="19"/>
        <v/>
      </c>
      <c r="AR12" s="171" t="b">
        <f t="shared" si="20"/>
        <v>0</v>
      </c>
    </row>
    <row r="13" spans="1:44" s="2" customFormat="1" ht="24" customHeight="1" x14ac:dyDescent="0.25">
      <c r="A13" s="8"/>
      <c r="B13" s="9">
        <v>6</v>
      </c>
      <c r="C13" s="347"/>
      <c r="D13" s="348"/>
      <c r="E13" s="32" t="str">
        <f t="shared" si="0"/>
        <v/>
      </c>
      <c r="F13" s="32" t="str">
        <f t="shared" si="1"/>
        <v/>
      </c>
      <c r="G13" s="68" t="str">
        <f t="shared" si="2"/>
        <v/>
      </c>
      <c r="H13" s="68" t="str">
        <f t="shared" si="3"/>
        <v/>
      </c>
      <c r="I13" s="68" t="str">
        <f t="shared" si="4"/>
        <v/>
      </c>
      <c r="J13" s="275" t="str">
        <f t="shared" si="5"/>
        <v/>
      </c>
      <c r="K13" s="256" t="str">
        <f t="shared" si="6"/>
        <v/>
      </c>
      <c r="L13" s="260"/>
      <c r="M13" s="263"/>
      <c r="N13" s="260"/>
      <c r="O13" s="264"/>
      <c r="P13" s="6"/>
      <c r="Q13" s="8"/>
      <c r="R13" s="170" t="str">
        <f t="shared" si="21"/>
        <v/>
      </c>
      <c r="S13" s="168" t="str">
        <f t="shared" si="7"/>
        <v/>
      </c>
      <c r="T13" s="168" t="str">
        <f t="shared" si="8"/>
        <v/>
      </c>
      <c r="U13" s="168"/>
      <c r="V13" s="168"/>
      <c r="W13" s="168"/>
      <c r="X13" s="168"/>
      <c r="Y13" s="171"/>
      <c r="Z13" s="170" t="e">
        <f t="shared" si="9"/>
        <v>#N/A</v>
      </c>
      <c r="AA13" s="168" t="e">
        <f t="shared" si="9"/>
        <v>#N/A</v>
      </c>
      <c r="AB13" s="168" t="str">
        <f t="shared" si="10"/>
        <v>$R$38:$R$52</v>
      </c>
      <c r="AC13" s="168"/>
      <c r="AD13" s="170" t="e">
        <f t="shared" si="11"/>
        <v>#N/A</v>
      </c>
      <c r="AE13" s="168" t="e">
        <f t="shared" si="12"/>
        <v>#N/A</v>
      </c>
      <c r="AF13" s="168"/>
      <c r="AG13" s="194" t="s">
        <v>915</v>
      </c>
      <c r="AH13" s="171">
        <f>IF(ISNUMBER(SEARCH("HTC",$AH$8)),100000,300000)</f>
        <v>300000</v>
      </c>
      <c r="AI13" s="221">
        <v>5</v>
      </c>
      <c r="AJ13" s="197" t="e">
        <f t="shared" si="13"/>
        <v>#N/A</v>
      </c>
      <c r="AK13" s="197" t="str">
        <f t="shared" si="14"/>
        <v/>
      </c>
      <c r="AL13" s="197" t="str">
        <f t="shared" si="15"/>
        <v/>
      </c>
      <c r="AM13" s="197" t="str">
        <f t="shared" si="16"/>
        <v/>
      </c>
      <c r="AN13" s="197" t="str">
        <f t="shared" si="17"/>
        <v/>
      </c>
      <c r="AO13" s="197" t="b">
        <f t="shared" si="18"/>
        <v>0</v>
      </c>
      <c r="AP13" s="221">
        <v>5</v>
      </c>
      <c r="AQ13" s="168" t="str">
        <f t="shared" si="19"/>
        <v/>
      </c>
      <c r="AR13" s="171" t="b">
        <f t="shared" si="20"/>
        <v>0</v>
      </c>
    </row>
    <row r="14" spans="1:44" s="2" customFormat="1" ht="24" customHeight="1" x14ac:dyDescent="0.25">
      <c r="A14" s="8"/>
      <c r="B14" s="9">
        <v>7</v>
      </c>
      <c r="C14" s="347"/>
      <c r="D14" s="348"/>
      <c r="E14" s="32" t="str">
        <f t="shared" si="0"/>
        <v/>
      </c>
      <c r="F14" s="32" t="str">
        <f t="shared" si="1"/>
        <v/>
      </c>
      <c r="G14" s="68" t="str">
        <f t="shared" si="2"/>
        <v/>
      </c>
      <c r="H14" s="68" t="str">
        <f t="shared" si="3"/>
        <v/>
      </c>
      <c r="I14" s="68" t="str">
        <f t="shared" si="4"/>
        <v/>
      </c>
      <c r="J14" s="275" t="str">
        <f t="shared" si="5"/>
        <v/>
      </c>
      <c r="K14" s="256" t="str">
        <f t="shared" si="6"/>
        <v/>
      </c>
      <c r="L14" s="260"/>
      <c r="M14" s="263"/>
      <c r="N14" s="260"/>
      <c r="O14" s="264"/>
      <c r="P14" s="6"/>
      <c r="Q14" s="8"/>
      <c r="R14" s="170" t="str">
        <f t="shared" si="21"/>
        <v/>
      </c>
      <c r="S14" s="168" t="str">
        <f t="shared" si="7"/>
        <v/>
      </c>
      <c r="T14" s="168" t="str">
        <f t="shared" si="8"/>
        <v/>
      </c>
      <c r="U14" s="168"/>
      <c r="V14" s="168"/>
      <c r="W14" s="168"/>
      <c r="X14" s="168"/>
      <c r="Y14" s="171"/>
      <c r="Z14" s="170" t="e">
        <f t="shared" si="9"/>
        <v>#N/A</v>
      </c>
      <c r="AA14" s="168" t="e">
        <f t="shared" si="9"/>
        <v>#N/A</v>
      </c>
      <c r="AB14" s="168" t="str">
        <f t="shared" si="10"/>
        <v>$R$38:$R$52</v>
      </c>
      <c r="AC14" s="168"/>
      <c r="AD14" s="170" t="e">
        <f t="shared" si="11"/>
        <v>#N/A</v>
      </c>
      <c r="AE14" s="168" t="e">
        <f t="shared" si="12"/>
        <v>#N/A</v>
      </c>
      <c r="AF14" s="168"/>
      <c r="AG14" s="194" t="s">
        <v>916</v>
      </c>
      <c r="AH14" s="171">
        <f>IF(ISNUMBER(SEARCH("BAC",$AH$8)),50000,100000)</f>
        <v>100000</v>
      </c>
      <c r="AI14" s="221">
        <v>6</v>
      </c>
      <c r="AJ14" s="197" t="e">
        <f t="shared" si="13"/>
        <v>#N/A</v>
      </c>
      <c r="AK14" s="197" t="str">
        <f t="shared" si="14"/>
        <v/>
      </c>
      <c r="AL14" s="197" t="str">
        <f t="shared" si="15"/>
        <v/>
      </c>
      <c r="AM14" s="197" t="str">
        <f t="shared" si="16"/>
        <v/>
      </c>
      <c r="AN14" s="197" t="str">
        <f t="shared" si="17"/>
        <v/>
      </c>
      <c r="AO14" s="197" t="b">
        <f t="shared" si="18"/>
        <v>0</v>
      </c>
      <c r="AP14" s="221">
        <v>6</v>
      </c>
      <c r="AQ14" s="168" t="str">
        <f t="shared" si="19"/>
        <v/>
      </c>
      <c r="AR14" s="171" t="b">
        <f t="shared" si="20"/>
        <v>0</v>
      </c>
    </row>
    <row r="15" spans="1:44" s="2" customFormat="1" ht="24" customHeight="1" x14ac:dyDescent="0.25">
      <c r="A15" s="8"/>
      <c r="B15" s="9">
        <v>8</v>
      </c>
      <c r="C15" s="347"/>
      <c r="D15" s="348"/>
      <c r="E15" s="32" t="str">
        <f t="shared" si="0"/>
        <v/>
      </c>
      <c r="F15" s="32" t="str">
        <f t="shared" si="1"/>
        <v/>
      </c>
      <c r="G15" s="68" t="str">
        <f t="shared" si="2"/>
        <v/>
      </c>
      <c r="H15" s="68" t="str">
        <f t="shared" si="3"/>
        <v/>
      </c>
      <c r="I15" s="68" t="str">
        <f t="shared" si="4"/>
        <v/>
      </c>
      <c r="J15" s="275" t="str">
        <f t="shared" si="5"/>
        <v/>
      </c>
      <c r="K15" s="256" t="str">
        <f t="shared" si="6"/>
        <v/>
      </c>
      <c r="L15" s="260"/>
      <c r="M15" s="263"/>
      <c r="N15" s="260"/>
      <c r="O15" s="264"/>
      <c r="P15" s="6"/>
      <c r="Q15" s="8"/>
      <c r="R15" s="170" t="str">
        <f t="shared" si="21"/>
        <v/>
      </c>
      <c r="S15" s="168" t="str">
        <f t="shared" si="7"/>
        <v/>
      </c>
      <c r="T15" s="168" t="str">
        <f t="shared" si="8"/>
        <v/>
      </c>
      <c r="U15" s="168"/>
      <c r="V15" s="168"/>
      <c r="W15" s="168"/>
      <c r="X15" s="168"/>
      <c r="Y15" s="171"/>
      <c r="Z15" s="170" t="e">
        <f t="shared" si="9"/>
        <v>#N/A</v>
      </c>
      <c r="AA15" s="168" t="e">
        <f t="shared" si="9"/>
        <v>#N/A</v>
      </c>
      <c r="AB15" s="168" t="str">
        <f t="shared" si="10"/>
        <v>$R$38:$R$52</v>
      </c>
      <c r="AC15" s="168"/>
      <c r="AD15" s="170" t="e">
        <f t="shared" si="11"/>
        <v>#N/A</v>
      </c>
      <c r="AE15" s="168" t="e">
        <f t="shared" si="12"/>
        <v>#N/A</v>
      </c>
      <c r="AF15" s="168"/>
      <c r="AG15" s="194" t="s">
        <v>824</v>
      </c>
      <c r="AH15" s="171">
        <f>IF(ISNUMBER(SEARCH("LCL",$AH$8)),80000,100000)</f>
        <v>100000</v>
      </c>
      <c r="AI15" s="221">
        <v>7</v>
      </c>
      <c r="AJ15" s="197" t="e">
        <f t="shared" si="13"/>
        <v>#N/A</v>
      </c>
      <c r="AK15" s="197" t="str">
        <f t="shared" si="14"/>
        <v/>
      </c>
      <c r="AL15" s="197" t="str">
        <f t="shared" si="15"/>
        <v/>
      </c>
      <c r="AM15" s="197" t="str">
        <f t="shared" si="16"/>
        <v/>
      </c>
      <c r="AN15" s="197" t="str">
        <f t="shared" si="17"/>
        <v/>
      </c>
      <c r="AO15" s="197" t="b">
        <f t="shared" si="18"/>
        <v>0</v>
      </c>
      <c r="AP15" s="221">
        <v>7</v>
      </c>
      <c r="AQ15" s="168" t="str">
        <f t="shared" si="19"/>
        <v/>
      </c>
      <c r="AR15" s="171" t="b">
        <f t="shared" si="20"/>
        <v>0</v>
      </c>
    </row>
    <row r="16" spans="1:44" s="2" customFormat="1" ht="24" customHeight="1" x14ac:dyDescent="0.25">
      <c r="A16" s="8"/>
      <c r="B16" s="9">
        <v>9</v>
      </c>
      <c r="C16" s="347"/>
      <c r="D16" s="348"/>
      <c r="E16" s="32" t="str">
        <f t="shared" si="0"/>
        <v/>
      </c>
      <c r="F16" s="32" t="str">
        <f t="shared" si="1"/>
        <v/>
      </c>
      <c r="G16" s="68" t="str">
        <f t="shared" si="2"/>
        <v/>
      </c>
      <c r="H16" s="68" t="str">
        <f t="shared" si="3"/>
        <v/>
      </c>
      <c r="I16" s="68" t="str">
        <f t="shared" si="4"/>
        <v/>
      </c>
      <c r="J16" s="275" t="str">
        <f t="shared" si="5"/>
        <v/>
      </c>
      <c r="K16" s="256" t="str">
        <f t="shared" si="6"/>
        <v/>
      </c>
      <c r="L16" s="260"/>
      <c r="M16" s="263"/>
      <c r="N16" s="260"/>
      <c r="O16" s="264"/>
      <c r="P16" s="6"/>
      <c r="Q16" s="8"/>
      <c r="R16" s="170" t="str">
        <f t="shared" si="21"/>
        <v/>
      </c>
      <c r="S16" s="168" t="str">
        <f t="shared" si="7"/>
        <v/>
      </c>
      <c r="T16" s="168" t="str">
        <f t="shared" si="8"/>
        <v/>
      </c>
      <c r="U16" s="168"/>
      <c r="V16" s="168"/>
      <c r="W16" s="168"/>
      <c r="X16" s="168"/>
      <c r="Y16" s="171"/>
      <c r="Z16" s="170" t="e">
        <f t="shared" si="9"/>
        <v>#N/A</v>
      </c>
      <c r="AA16" s="168" t="e">
        <f t="shared" si="9"/>
        <v>#N/A</v>
      </c>
      <c r="AB16" s="168" t="str">
        <f t="shared" si="10"/>
        <v>$R$38:$R$52</v>
      </c>
      <c r="AC16" s="168"/>
      <c r="AD16" s="170" t="e">
        <f t="shared" si="11"/>
        <v>#N/A</v>
      </c>
      <c r="AE16" s="168" t="e">
        <f t="shared" si="12"/>
        <v>#N/A</v>
      </c>
      <c r="AF16" s="168"/>
      <c r="AG16" s="170"/>
      <c r="AH16" s="171"/>
      <c r="AI16" s="221">
        <v>8</v>
      </c>
      <c r="AJ16" s="197" t="e">
        <f t="shared" si="13"/>
        <v>#N/A</v>
      </c>
      <c r="AK16" s="197" t="str">
        <f t="shared" si="14"/>
        <v/>
      </c>
      <c r="AL16" s="197" t="str">
        <f t="shared" si="15"/>
        <v/>
      </c>
      <c r="AM16" s="197" t="str">
        <f t="shared" si="16"/>
        <v/>
      </c>
      <c r="AN16" s="197" t="str">
        <f t="shared" si="17"/>
        <v/>
      </c>
      <c r="AO16" s="197" t="b">
        <f t="shared" si="18"/>
        <v>0</v>
      </c>
      <c r="AP16" s="221">
        <v>8</v>
      </c>
      <c r="AQ16" s="168" t="str">
        <f t="shared" si="19"/>
        <v/>
      </c>
      <c r="AR16" s="171" t="b">
        <f t="shared" si="20"/>
        <v>0</v>
      </c>
    </row>
    <row r="17" spans="1:44" s="2" customFormat="1" ht="24" customHeight="1" x14ac:dyDescent="0.25">
      <c r="A17" s="8"/>
      <c r="B17" s="9">
        <v>10</v>
      </c>
      <c r="C17" s="347"/>
      <c r="D17" s="348"/>
      <c r="E17" s="32" t="str">
        <f t="shared" si="0"/>
        <v/>
      </c>
      <c r="F17" s="32" t="str">
        <f t="shared" si="1"/>
        <v/>
      </c>
      <c r="G17" s="68" t="str">
        <f t="shared" si="2"/>
        <v/>
      </c>
      <c r="H17" s="68" t="str">
        <f t="shared" si="3"/>
        <v/>
      </c>
      <c r="I17" s="68" t="str">
        <f t="shared" si="4"/>
        <v/>
      </c>
      <c r="J17" s="275" t="str">
        <f t="shared" si="5"/>
        <v/>
      </c>
      <c r="K17" s="256" t="str">
        <f t="shared" si="6"/>
        <v/>
      </c>
      <c r="L17" s="260"/>
      <c r="M17" s="263"/>
      <c r="N17" s="260"/>
      <c r="O17" s="264"/>
      <c r="P17" s="6"/>
      <c r="Q17" s="8"/>
      <c r="R17" s="170" t="str">
        <f t="shared" si="21"/>
        <v/>
      </c>
      <c r="S17" s="168" t="str">
        <f t="shared" si="7"/>
        <v/>
      </c>
      <c r="T17" s="168" t="str">
        <f t="shared" si="8"/>
        <v/>
      </c>
      <c r="U17" s="168"/>
      <c r="V17" s="168"/>
      <c r="W17" s="168"/>
      <c r="X17" s="168"/>
      <c r="Y17" s="171"/>
      <c r="Z17" s="170" t="e">
        <f t="shared" si="9"/>
        <v>#N/A</v>
      </c>
      <c r="AA17" s="168" t="e">
        <f t="shared" si="9"/>
        <v>#N/A</v>
      </c>
      <c r="AB17" s="168" t="str">
        <f t="shared" si="10"/>
        <v>$R$38:$R$52</v>
      </c>
      <c r="AC17" s="168"/>
      <c r="AD17" s="170" t="e">
        <f t="shared" si="11"/>
        <v>#N/A</v>
      </c>
      <c r="AE17" s="168" t="e">
        <f t="shared" si="12"/>
        <v>#N/A</v>
      </c>
      <c r="AF17" s="168"/>
      <c r="AG17" s="170"/>
      <c r="AH17" s="171"/>
      <c r="AI17" s="221">
        <v>9</v>
      </c>
      <c r="AJ17" s="197" t="e">
        <f t="shared" si="13"/>
        <v>#N/A</v>
      </c>
      <c r="AK17" s="197" t="str">
        <f t="shared" si="14"/>
        <v/>
      </c>
      <c r="AL17" s="197" t="str">
        <f t="shared" si="15"/>
        <v/>
      </c>
      <c r="AM17" s="197" t="str">
        <f t="shared" si="16"/>
        <v/>
      </c>
      <c r="AN17" s="197" t="str">
        <f t="shared" si="17"/>
        <v/>
      </c>
      <c r="AO17" s="197" t="b">
        <f t="shared" si="18"/>
        <v>0</v>
      </c>
      <c r="AP17" s="221">
        <v>9</v>
      </c>
      <c r="AQ17" s="168" t="str">
        <f t="shared" si="19"/>
        <v/>
      </c>
      <c r="AR17" s="171" t="b">
        <f t="shared" si="20"/>
        <v>0</v>
      </c>
    </row>
    <row r="18" spans="1:44" s="2" customFormat="1" ht="24" customHeight="1" x14ac:dyDescent="0.25">
      <c r="A18" s="8"/>
      <c r="B18" s="9">
        <v>11</v>
      </c>
      <c r="C18" s="347"/>
      <c r="D18" s="348"/>
      <c r="E18" s="32" t="str">
        <f t="shared" si="0"/>
        <v/>
      </c>
      <c r="F18" s="32" t="str">
        <f t="shared" si="1"/>
        <v/>
      </c>
      <c r="G18" s="68" t="str">
        <f t="shared" si="2"/>
        <v/>
      </c>
      <c r="H18" s="68" t="str">
        <f t="shared" si="3"/>
        <v/>
      </c>
      <c r="I18" s="68" t="str">
        <f t="shared" si="4"/>
        <v/>
      </c>
      <c r="J18" s="275" t="str">
        <f t="shared" si="5"/>
        <v/>
      </c>
      <c r="K18" s="256" t="str">
        <f t="shared" si="6"/>
        <v/>
      </c>
      <c r="L18" s="260"/>
      <c r="M18" s="263"/>
      <c r="N18" s="260"/>
      <c r="O18" s="264"/>
      <c r="P18" s="6"/>
      <c r="Q18" s="8"/>
      <c r="R18" s="170" t="str">
        <f t="shared" si="21"/>
        <v/>
      </c>
      <c r="S18" s="168" t="str">
        <f t="shared" si="7"/>
        <v/>
      </c>
      <c r="T18" s="168" t="str">
        <f t="shared" si="8"/>
        <v/>
      </c>
      <c r="U18" s="168"/>
      <c r="V18" s="168"/>
      <c r="W18" s="168"/>
      <c r="X18" s="168"/>
      <c r="Y18" s="171"/>
      <c r="Z18" s="170" t="e">
        <f t="shared" si="9"/>
        <v>#N/A</v>
      </c>
      <c r="AA18" s="168" t="e">
        <f t="shared" si="9"/>
        <v>#N/A</v>
      </c>
      <c r="AB18" s="168" t="str">
        <f t="shared" si="10"/>
        <v>$R$38:$R$52</v>
      </c>
      <c r="AC18" s="168"/>
      <c r="AD18" s="170" t="e">
        <f t="shared" si="11"/>
        <v>#N/A</v>
      </c>
      <c r="AE18" s="168" t="e">
        <f t="shared" si="12"/>
        <v>#N/A</v>
      </c>
      <c r="AF18" s="168"/>
      <c r="AG18" s="170"/>
      <c r="AH18" s="171"/>
      <c r="AI18" s="221">
        <v>10</v>
      </c>
      <c r="AJ18" s="197" t="e">
        <f t="shared" si="13"/>
        <v>#N/A</v>
      </c>
      <c r="AK18" s="197" t="str">
        <f t="shared" si="14"/>
        <v/>
      </c>
      <c r="AL18" s="197" t="str">
        <f t="shared" si="15"/>
        <v/>
      </c>
      <c r="AM18" s="197" t="str">
        <f t="shared" si="16"/>
        <v/>
      </c>
      <c r="AN18" s="197" t="str">
        <f t="shared" si="17"/>
        <v/>
      </c>
      <c r="AO18" s="197" t="b">
        <f t="shared" si="18"/>
        <v>0</v>
      </c>
      <c r="AP18" s="221">
        <v>10</v>
      </c>
      <c r="AQ18" s="168" t="str">
        <f t="shared" si="19"/>
        <v/>
      </c>
      <c r="AR18" s="171" t="b">
        <f t="shared" si="20"/>
        <v>0</v>
      </c>
    </row>
    <row r="19" spans="1:44" s="2" customFormat="1" ht="24" customHeight="1" x14ac:dyDescent="0.25">
      <c r="A19" s="8"/>
      <c r="B19" s="9">
        <v>12</v>
      </c>
      <c r="C19" s="347"/>
      <c r="D19" s="348"/>
      <c r="E19" s="32" t="str">
        <f t="shared" si="0"/>
        <v/>
      </c>
      <c r="F19" s="32" t="str">
        <f t="shared" si="1"/>
        <v/>
      </c>
      <c r="G19" s="68" t="str">
        <f t="shared" si="2"/>
        <v/>
      </c>
      <c r="H19" s="68" t="str">
        <f t="shared" si="3"/>
        <v/>
      </c>
      <c r="I19" s="68" t="str">
        <f t="shared" si="4"/>
        <v/>
      </c>
      <c r="J19" s="275" t="str">
        <f t="shared" si="5"/>
        <v/>
      </c>
      <c r="K19" s="256" t="str">
        <f t="shared" si="6"/>
        <v/>
      </c>
      <c r="L19" s="260"/>
      <c r="M19" s="263"/>
      <c r="N19" s="260"/>
      <c r="O19" s="264"/>
      <c r="P19" s="6"/>
      <c r="Q19" s="8"/>
      <c r="R19" s="170" t="str">
        <f t="shared" si="21"/>
        <v/>
      </c>
      <c r="S19" s="168" t="str">
        <f t="shared" si="7"/>
        <v/>
      </c>
      <c r="T19" s="168" t="str">
        <f t="shared" si="8"/>
        <v/>
      </c>
      <c r="U19" s="168"/>
      <c r="V19" s="168"/>
      <c r="W19" s="168"/>
      <c r="X19" s="168"/>
      <c r="Y19" s="171"/>
      <c r="Z19" s="170" t="e">
        <f t="shared" si="9"/>
        <v>#N/A</v>
      </c>
      <c r="AA19" s="168" t="e">
        <f t="shared" si="9"/>
        <v>#N/A</v>
      </c>
      <c r="AB19" s="168" t="str">
        <f t="shared" si="10"/>
        <v>$R$38:$R$52</v>
      </c>
      <c r="AC19" s="168"/>
      <c r="AD19" s="170" t="e">
        <f t="shared" si="11"/>
        <v>#N/A</v>
      </c>
      <c r="AE19" s="168" t="e">
        <f t="shared" si="12"/>
        <v>#N/A</v>
      </c>
      <c r="AF19" s="168"/>
      <c r="AG19" s="170"/>
      <c r="AH19" s="171"/>
      <c r="AI19" s="221">
        <v>11</v>
      </c>
      <c r="AJ19" s="197" t="e">
        <f t="shared" si="13"/>
        <v>#N/A</v>
      </c>
      <c r="AK19" s="197" t="str">
        <f t="shared" si="14"/>
        <v/>
      </c>
      <c r="AL19" s="197" t="str">
        <f t="shared" si="15"/>
        <v/>
      </c>
      <c r="AM19" s="197" t="str">
        <f t="shared" si="16"/>
        <v/>
      </c>
      <c r="AN19" s="197" t="str">
        <f t="shared" si="17"/>
        <v/>
      </c>
      <c r="AO19" s="197" t="b">
        <f t="shared" si="18"/>
        <v>0</v>
      </c>
      <c r="AP19" s="221">
        <v>11</v>
      </c>
      <c r="AQ19" s="168" t="str">
        <f t="shared" si="19"/>
        <v/>
      </c>
      <c r="AR19" s="171" t="b">
        <f t="shared" si="20"/>
        <v>0</v>
      </c>
    </row>
    <row r="20" spans="1:44" s="2" customFormat="1" ht="24" customHeight="1" x14ac:dyDescent="0.25">
      <c r="A20" s="8"/>
      <c r="B20" s="9">
        <v>13</v>
      </c>
      <c r="C20" s="347"/>
      <c r="D20" s="348"/>
      <c r="E20" s="32" t="str">
        <f t="shared" si="0"/>
        <v/>
      </c>
      <c r="F20" s="32" t="str">
        <f t="shared" si="1"/>
        <v/>
      </c>
      <c r="G20" s="68" t="str">
        <f t="shared" si="2"/>
        <v/>
      </c>
      <c r="H20" s="68" t="str">
        <f t="shared" si="3"/>
        <v/>
      </c>
      <c r="I20" s="68" t="str">
        <f t="shared" si="4"/>
        <v/>
      </c>
      <c r="J20" s="275" t="str">
        <f t="shared" si="5"/>
        <v/>
      </c>
      <c r="K20" s="256" t="str">
        <f t="shared" si="6"/>
        <v/>
      </c>
      <c r="L20" s="260"/>
      <c r="M20" s="263"/>
      <c r="N20" s="260"/>
      <c r="O20" s="264"/>
      <c r="P20" s="6"/>
      <c r="Q20" s="8"/>
      <c r="R20" s="170" t="str">
        <f t="shared" si="21"/>
        <v/>
      </c>
      <c r="S20" s="168" t="str">
        <f t="shared" si="7"/>
        <v/>
      </c>
      <c r="T20" s="168" t="str">
        <f t="shared" si="8"/>
        <v/>
      </c>
      <c r="U20" s="168"/>
      <c r="V20" s="168"/>
      <c r="W20" s="168"/>
      <c r="X20" s="168"/>
      <c r="Y20" s="171"/>
      <c r="Z20" s="170" t="e">
        <f t="shared" si="9"/>
        <v>#N/A</v>
      </c>
      <c r="AA20" s="168" t="e">
        <f t="shared" si="9"/>
        <v>#N/A</v>
      </c>
      <c r="AB20" s="168" t="str">
        <f t="shared" si="10"/>
        <v>$R$38:$R$52</v>
      </c>
      <c r="AC20" s="168"/>
      <c r="AD20" s="170" t="e">
        <f t="shared" si="11"/>
        <v>#N/A</v>
      </c>
      <c r="AE20" s="168" t="e">
        <f t="shared" si="12"/>
        <v>#N/A</v>
      </c>
      <c r="AF20" s="168"/>
      <c r="AG20" s="170"/>
      <c r="AH20" s="171"/>
      <c r="AI20" s="221">
        <v>12</v>
      </c>
      <c r="AJ20" s="197" t="e">
        <f t="shared" si="13"/>
        <v>#N/A</v>
      </c>
      <c r="AK20" s="197" t="str">
        <f t="shared" si="14"/>
        <v/>
      </c>
      <c r="AL20" s="197" t="str">
        <f t="shared" si="15"/>
        <v/>
      </c>
      <c r="AM20" s="197" t="str">
        <f t="shared" si="16"/>
        <v/>
      </c>
      <c r="AN20" s="197" t="str">
        <f t="shared" si="17"/>
        <v/>
      </c>
      <c r="AO20" s="197"/>
      <c r="AP20" s="221">
        <v>12</v>
      </c>
      <c r="AQ20" s="168" t="str">
        <f t="shared" si="19"/>
        <v/>
      </c>
      <c r="AR20" s="171" t="b">
        <f t="shared" si="20"/>
        <v>0</v>
      </c>
    </row>
    <row r="21" spans="1:44" s="2" customFormat="1" ht="24" customHeight="1" x14ac:dyDescent="0.25">
      <c r="A21" s="8"/>
      <c r="B21" s="9">
        <v>14</v>
      </c>
      <c r="C21" s="347"/>
      <c r="D21" s="348"/>
      <c r="E21" s="32" t="str">
        <f t="shared" si="0"/>
        <v/>
      </c>
      <c r="F21" s="32" t="str">
        <f t="shared" si="1"/>
        <v/>
      </c>
      <c r="G21" s="68" t="str">
        <f t="shared" si="2"/>
        <v/>
      </c>
      <c r="H21" s="68" t="str">
        <f t="shared" si="3"/>
        <v/>
      </c>
      <c r="I21" s="68" t="str">
        <f t="shared" si="4"/>
        <v/>
      </c>
      <c r="J21" s="275" t="str">
        <f t="shared" si="5"/>
        <v/>
      </c>
      <c r="K21" s="256" t="str">
        <f t="shared" si="6"/>
        <v/>
      </c>
      <c r="L21" s="260"/>
      <c r="M21" s="263"/>
      <c r="N21" s="260"/>
      <c r="O21" s="264"/>
      <c r="P21" s="6"/>
      <c r="Q21" s="8"/>
      <c r="R21" s="170" t="str">
        <f t="shared" si="21"/>
        <v/>
      </c>
      <c r="S21" s="168" t="str">
        <f t="shared" si="7"/>
        <v/>
      </c>
      <c r="T21" s="168" t="str">
        <f t="shared" si="8"/>
        <v/>
      </c>
      <c r="U21" s="168"/>
      <c r="V21" s="168"/>
      <c r="W21" s="168"/>
      <c r="X21" s="168"/>
      <c r="Y21" s="171"/>
      <c r="Z21" s="170" t="e">
        <f t="shared" si="9"/>
        <v>#N/A</v>
      </c>
      <c r="AA21" s="168" t="e">
        <f t="shared" si="9"/>
        <v>#N/A</v>
      </c>
      <c r="AB21" s="168" t="str">
        <f t="shared" si="10"/>
        <v>$R$38:$R$52</v>
      </c>
      <c r="AC21" s="168"/>
      <c r="AD21" s="170" t="e">
        <f t="shared" si="11"/>
        <v>#N/A</v>
      </c>
      <c r="AE21" s="168" t="e">
        <f t="shared" si="12"/>
        <v>#N/A</v>
      </c>
      <c r="AF21" s="168"/>
      <c r="AG21" s="170"/>
      <c r="AH21" s="171"/>
      <c r="AI21" s="221">
        <v>13</v>
      </c>
      <c r="AJ21" s="197" t="e">
        <f t="shared" si="13"/>
        <v>#N/A</v>
      </c>
      <c r="AK21" s="197" t="str">
        <f t="shared" si="14"/>
        <v/>
      </c>
      <c r="AL21" s="197" t="str">
        <f t="shared" si="15"/>
        <v/>
      </c>
      <c r="AM21" s="197" t="str">
        <f t="shared" si="16"/>
        <v/>
      </c>
      <c r="AN21" s="197" t="str">
        <f t="shared" si="17"/>
        <v/>
      </c>
      <c r="AO21" s="197"/>
      <c r="AP21" s="221">
        <v>13</v>
      </c>
      <c r="AQ21" s="168" t="str">
        <f t="shared" si="19"/>
        <v/>
      </c>
      <c r="AR21" s="171" t="b">
        <f t="shared" si="20"/>
        <v>0</v>
      </c>
    </row>
    <row r="22" spans="1:44" s="2" customFormat="1" ht="24" customHeight="1" x14ac:dyDescent="0.25">
      <c r="A22" s="8"/>
      <c r="B22" s="9">
        <v>15</v>
      </c>
      <c r="C22" s="347"/>
      <c r="D22" s="348"/>
      <c r="E22" s="32" t="str">
        <f t="shared" si="0"/>
        <v/>
      </c>
      <c r="F22" s="32" t="str">
        <f t="shared" si="1"/>
        <v/>
      </c>
      <c r="G22" s="68" t="str">
        <f t="shared" si="2"/>
        <v/>
      </c>
      <c r="H22" s="68" t="str">
        <f t="shared" si="3"/>
        <v/>
      </c>
      <c r="I22" s="68" t="str">
        <f t="shared" si="4"/>
        <v/>
      </c>
      <c r="J22" s="275" t="str">
        <f t="shared" si="5"/>
        <v/>
      </c>
      <c r="K22" s="256" t="str">
        <f t="shared" si="6"/>
        <v/>
      </c>
      <c r="L22" s="260"/>
      <c r="M22" s="263"/>
      <c r="N22" s="260"/>
      <c r="O22" s="264"/>
      <c r="P22" s="6"/>
      <c r="Q22" s="8"/>
      <c r="R22" s="170" t="str">
        <f t="shared" si="21"/>
        <v/>
      </c>
      <c r="S22" s="168" t="str">
        <f t="shared" si="7"/>
        <v/>
      </c>
      <c r="T22" s="168" t="str">
        <f t="shared" si="8"/>
        <v/>
      </c>
      <c r="U22" s="168"/>
      <c r="V22" s="168"/>
      <c r="W22" s="168"/>
      <c r="X22" s="168"/>
      <c r="Y22" s="171"/>
      <c r="Z22" s="170" t="e">
        <f t="shared" si="9"/>
        <v>#N/A</v>
      </c>
      <c r="AA22" s="168" t="e">
        <f t="shared" si="9"/>
        <v>#N/A</v>
      </c>
      <c r="AB22" s="168" t="str">
        <f t="shared" si="10"/>
        <v>$R$38:$R$52</v>
      </c>
      <c r="AC22" s="168"/>
      <c r="AD22" s="170" t="e">
        <f t="shared" si="11"/>
        <v>#N/A</v>
      </c>
      <c r="AE22" s="168" t="e">
        <f t="shared" si="12"/>
        <v>#N/A</v>
      </c>
      <c r="AF22" s="168"/>
      <c r="AG22" s="170"/>
      <c r="AH22" s="171"/>
      <c r="AI22" s="221">
        <v>14</v>
      </c>
      <c r="AJ22" s="197" t="e">
        <f t="shared" si="13"/>
        <v>#N/A</v>
      </c>
      <c r="AK22" s="197" t="str">
        <f t="shared" si="14"/>
        <v/>
      </c>
      <c r="AL22" s="197" t="str">
        <f t="shared" si="15"/>
        <v/>
      </c>
      <c r="AM22" s="197" t="str">
        <f t="shared" si="16"/>
        <v/>
      </c>
      <c r="AN22" s="197" t="str">
        <f t="shared" si="17"/>
        <v/>
      </c>
      <c r="AO22" s="197"/>
      <c r="AP22" s="221">
        <v>14</v>
      </c>
      <c r="AQ22" s="168" t="str">
        <f t="shared" si="19"/>
        <v/>
      </c>
      <c r="AR22" s="171" t="b">
        <f t="shared" si="20"/>
        <v>0</v>
      </c>
    </row>
    <row r="23" spans="1:44" s="2" customFormat="1" ht="24" customHeight="1" thickBot="1" x14ac:dyDescent="0.3">
      <c r="A23" s="8"/>
      <c r="B23" s="10">
        <v>16</v>
      </c>
      <c r="C23" s="349"/>
      <c r="D23" s="350"/>
      <c r="E23" s="138" t="str">
        <f t="shared" si="0"/>
        <v/>
      </c>
      <c r="F23" s="138" t="str">
        <f t="shared" si="1"/>
        <v/>
      </c>
      <c r="G23" s="139" t="str">
        <f t="shared" si="2"/>
        <v/>
      </c>
      <c r="H23" s="139" t="str">
        <f t="shared" si="3"/>
        <v/>
      </c>
      <c r="I23" s="139" t="str">
        <f t="shared" si="4"/>
        <v/>
      </c>
      <c r="J23" s="276" t="str">
        <f t="shared" si="5"/>
        <v/>
      </c>
      <c r="K23" s="257" t="str">
        <f t="shared" si="6"/>
        <v/>
      </c>
      <c r="L23" s="265"/>
      <c r="M23" s="266"/>
      <c r="N23" s="265"/>
      <c r="O23" s="267"/>
      <c r="P23" s="6"/>
      <c r="Q23" s="8"/>
      <c r="R23" s="170" t="str">
        <f t="shared" si="21"/>
        <v/>
      </c>
      <c r="S23" s="168" t="str">
        <f t="shared" si="7"/>
        <v/>
      </c>
      <c r="T23" s="168" t="str">
        <f t="shared" si="8"/>
        <v/>
      </c>
      <c r="U23" s="168"/>
      <c r="V23" s="168"/>
      <c r="W23" s="168"/>
      <c r="X23" s="168"/>
      <c r="Y23" s="171"/>
      <c r="Z23" s="170" t="e">
        <f t="shared" si="9"/>
        <v>#N/A</v>
      </c>
      <c r="AA23" s="168" t="e">
        <f t="shared" si="9"/>
        <v>#N/A</v>
      </c>
      <c r="AB23" s="168" t="str">
        <f t="shared" si="10"/>
        <v>$R$38:$R$52</v>
      </c>
      <c r="AC23" s="168"/>
      <c r="AD23" s="170" t="e">
        <f t="shared" si="11"/>
        <v>#N/A</v>
      </c>
      <c r="AE23" s="168" t="e">
        <f t="shared" si="12"/>
        <v>#N/A</v>
      </c>
      <c r="AF23" s="168"/>
      <c r="AG23" s="170"/>
      <c r="AH23" s="171"/>
      <c r="AI23" s="221">
        <v>15</v>
      </c>
      <c r="AJ23" s="197" t="e">
        <f t="shared" si="13"/>
        <v>#N/A</v>
      </c>
      <c r="AK23" s="197" t="str">
        <f t="shared" si="14"/>
        <v/>
      </c>
      <c r="AL23" s="197" t="str">
        <f t="shared" si="15"/>
        <v/>
      </c>
      <c r="AM23" s="197" t="str">
        <f t="shared" si="16"/>
        <v/>
      </c>
      <c r="AN23" s="197" t="str">
        <f t="shared" si="17"/>
        <v/>
      </c>
      <c r="AO23" s="197"/>
      <c r="AP23" s="221">
        <v>15</v>
      </c>
      <c r="AQ23" s="168" t="str">
        <f t="shared" si="19"/>
        <v/>
      </c>
      <c r="AR23" s="171" t="b">
        <f t="shared" si="20"/>
        <v>0</v>
      </c>
    </row>
    <row r="24" spans="1:44" s="2" customFormat="1" ht="24" customHeight="1" x14ac:dyDescent="0.25">
      <c r="A24" s="8"/>
      <c r="B24" s="11" t="s">
        <v>524</v>
      </c>
      <c r="C24" s="351" t="s">
        <v>956</v>
      </c>
      <c r="D24" s="352"/>
      <c r="E24" s="26" t="str">
        <f>IFERROR(VLOOKUP(C24,StarplayerList,3,FALSE),"")</f>
        <v/>
      </c>
      <c r="F24" s="26" t="str">
        <f>IFERROR(VLOOKUP(C24,StarplayerList,4,FALSE),"")</f>
        <v/>
      </c>
      <c r="G24" s="69" t="str">
        <f>IFERROR(VLOOKUP(C24,StarplayerList,5,FALSE),"")</f>
        <v/>
      </c>
      <c r="H24" s="69" t="str">
        <f>IFERROR(VLOOKUP(C24,StarplayerList,6,FALSE),"")</f>
        <v/>
      </c>
      <c r="I24" s="69" t="str">
        <f>IFERROR(VLOOKUP(C24,StarplayerList,7,FALSE),"")</f>
        <v/>
      </c>
      <c r="J24" s="277" t="str">
        <f>IFERROR(VLOOKUP(C24,StarplayerList,8,FALSE),"")</f>
        <v/>
      </c>
      <c r="K24" s="258" t="str">
        <f>IFERROR(1000*VLOOKUP(C24,StarplayerList,2,FALSE),"")</f>
        <v/>
      </c>
      <c r="L24" s="339" t="str">
        <f>IFERROR(VLOOKUP(C24,StarplayerList,9,FALSE),"")</f>
        <v/>
      </c>
      <c r="M24" s="340"/>
      <c r="N24" s="343" t="str">
        <f>IFERROR(VLOOKUP(C24,StarplayerList,12,FALSE),"")</f>
        <v/>
      </c>
      <c r="O24" s="344"/>
      <c r="P24" s="6"/>
      <c r="Q24" s="8"/>
      <c r="R24" s="170"/>
      <c r="S24" s="168"/>
      <c r="T24" s="168"/>
      <c r="U24" s="168"/>
      <c r="V24" s="168"/>
      <c r="W24" s="168"/>
      <c r="X24" s="168"/>
      <c r="Y24" s="171"/>
      <c r="Z24" s="170"/>
      <c r="AA24" s="168"/>
      <c r="AB24" s="168"/>
      <c r="AC24" s="168"/>
      <c r="AD24" s="170"/>
      <c r="AE24" s="168"/>
      <c r="AF24" s="168"/>
      <c r="AG24" s="170"/>
      <c r="AH24" s="171"/>
      <c r="AI24" s="221">
        <v>16</v>
      </c>
      <c r="AJ24" s="197" t="e">
        <f t="shared" si="13"/>
        <v>#N/A</v>
      </c>
      <c r="AK24" s="197" t="str">
        <f t="shared" si="14"/>
        <v/>
      </c>
      <c r="AL24" s="197" t="str">
        <f t="shared" si="15"/>
        <v/>
      </c>
      <c r="AM24" s="197" t="str">
        <f t="shared" si="16"/>
        <v/>
      </c>
      <c r="AN24" s="197" t="str">
        <f t="shared" si="17"/>
        <v/>
      </c>
      <c r="AO24" s="197"/>
      <c r="AP24" s="221">
        <v>16</v>
      </c>
      <c r="AQ24" s="168" t="str">
        <f t="shared" si="19"/>
        <v/>
      </c>
      <c r="AR24" s="171" t="b">
        <f t="shared" si="20"/>
        <v>0</v>
      </c>
    </row>
    <row r="25" spans="1:44" s="2" customFormat="1" ht="24" customHeight="1" thickBot="1" x14ac:dyDescent="0.3">
      <c r="A25" s="8"/>
      <c r="B25" s="10" t="s">
        <v>525</v>
      </c>
      <c r="C25" s="360" t="s">
        <v>956</v>
      </c>
      <c r="D25" s="361"/>
      <c r="E25" s="27" t="str">
        <f>IFERROR(VLOOKUP(C25,StarplayerList,3,FALSE),"")</f>
        <v/>
      </c>
      <c r="F25" s="27" t="str">
        <f>IFERROR(VLOOKUP(C25,StarplayerList,4,FALSE),"")</f>
        <v/>
      </c>
      <c r="G25" s="70" t="str">
        <f>IFERROR(VLOOKUP(C25,StarplayerList,5,FALSE),"")</f>
        <v/>
      </c>
      <c r="H25" s="70" t="str">
        <f>IFERROR(VLOOKUP(C25,StarplayerList,6,FALSE),"")</f>
        <v/>
      </c>
      <c r="I25" s="70" t="str">
        <f>IFERROR(VLOOKUP(C25,StarplayerList,7,FALSE),"")</f>
        <v/>
      </c>
      <c r="J25" s="276" t="str">
        <f>IFERROR(VLOOKUP(C25,StarplayerList,8,FALSE),"")</f>
        <v/>
      </c>
      <c r="K25" s="259" t="str">
        <f>IFERROR(1000*VLOOKUP(C25,StarplayerList,2,FALSE),"")</f>
        <v/>
      </c>
      <c r="L25" s="341" t="str">
        <f>IFERROR(VLOOKUP(C25,StarplayerList,9,FALSE),"")</f>
        <v/>
      </c>
      <c r="M25" s="342"/>
      <c r="N25" s="345" t="str">
        <f>IFERROR(VLOOKUP(C25,StarplayerList,12,FALSE),"")</f>
        <v/>
      </c>
      <c r="O25" s="346"/>
      <c r="P25" s="6"/>
      <c r="Q25" s="8"/>
      <c r="R25" s="172"/>
      <c r="S25" s="173"/>
      <c r="T25" s="173"/>
      <c r="U25" s="173"/>
      <c r="V25" s="173"/>
      <c r="W25" s="173"/>
      <c r="X25" s="173"/>
      <c r="Y25" s="174"/>
      <c r="Z25" s="172"/>
      <c r="AA25" s="173"/>
      <c r="AB25" s="173"/>
      <c r="AC25" s="173"/>
      <c r="AD25" s="172"/>
      <c r="AE25" s="173"/>
      <c r="AF25" s="173"/>
      <c r="AG25" s="172"/>
      <c r="AH25" s="174"/>
      <c r="AI25" s="222"/>
      <c r="AJ25" s="198"/>
      <c r="AK25" s="198"/>
      <c r="AL25" s="198"/>
      <c r="AM25" s="198"/>
      <c r="AN25" s="198"/>
      <c r="AO25" s="198"/>
      <c r="AP25" s="221">
        <v>17</v>
      </c>
      <c r="AQ25" s="168" t="str">
        <f t="shared" si="19"/>
        <v/>
      </c>
      <c r="AR25" s="171" t="b">
        <f t="shared" si="20"/>
        <v>0</v>
      </c>
    </row>
    <row r="26" spans="1:44" ht="15" customHeight="1" thickBot="1" x14ac:dyDescent="0.3">
      <c r="B26" s="22"/>
      <c r="C26" s="6"/>
      <c r="D26" s="6"/>
      <c r="E26" s="87"/>
      <c r="F26" s="87"/>
      <c r="G26" s="87"/>
      <c r="H26" s="87"/>
      <c r="I26" s="87"/>
      <c r="J26" s="6"/>
      <c r="K26" s="6"/>
      <c r="L26" s="6"/>
      <c r="M26" s="6"/>
      <c r="N26" s="6"/>
      <c r="O26" s="6"/>
      <c r="P26" s="6"/>
      <c r="Q26" s="6"/>
      <c r="R26" s="6"/>
      <c r="S26" s="6"/>
      <c r="T26" s="6"/>
      <c r="U26" s="6"/>
      <c r="V26" s="6"/>
      <c r="W26" s="6"/>
      <c r="X26" s="6"/>
      <c r="Y26" s="6"/>
      <c r="Z26" s="6"/>
      <c r="AA26" s="6"/>
      <c r="AB26" s="6"/>
      <c r="AC26" s="6"/>
      <c r="AM26" s="6"/>
      <c r="AN26" s="6"/>
      <c r="AO26" s="6"/>
      <c r="AP26" s="221">
        <v>18</v>
      </c>
      <c r="AQ26" s="168" t="str">
        <f t="shared" si="19"/>
        <v/>
      </c>
      <c r="AR26" s="171" t="b">
        <f t="shared" si="20"/>
        <v>0</v>
      </c>
    </row>
    <row r="27" spans="1:44" ht="14.45" customHeight="1" thickBot="1" x14ac:dyDescent="0.3">
      <c r="B27" s="374" t="s">
        <v>965</v>
      </c>
      <c r="C27" s="375"/>
      <c r="D27" s="376"/>
      <c r="E27" s="353">
        <f>1150000-E37</f>
        <v>1150000</v>
      </c>
      <c r="F27" s="354"/>
      <c r="G27" s="355"/>
      <c r="H27" s="127"/>
      <c r="I27" s="127"/>
      <c r="J27" s="230" t="s">
        <v>623</v>
      </c>
      <c r="K27" s="6"/>
      <c r="L27" s="362" t="s">
        <v>955</v>
      </c>
      <c r="M27" s="363"/>
      <c r="N27" s="363"/>
      <c r="O27" s="364"/>
      <c r="P27" s="6"/>
      <c r="Q27" s="6"/>
      <c r="R27" s="212" t="s">
        <v>922</v>
      </c>
      <c r="S27" s="213"/>
      <c r="T27" s="213"/>
      <c r="U27" s="213"/>
      <c r="V27" s="214"/>
      <c r="W27" s="214"/>
      <c r="X27" s="214"/>
      <c r="Y27" s="215"/>
      <c r="Z27" s="6"/>
      <c r="AA27" s="6"/>
      <c r="AB27" s="6"/>
      <c r="AC27" s="6"/>
      <c r="AM27" s="6"/>
      <c r="AN27" s="6"/>
      <c r="AO27" s="6"/>
      <c r="AP27" s="221">
        <v>19</v>
      </c>
      <c r="AQ27" s="168" t="str">
        <f t="shared" si="19"/>
        <v/>
      </c>
      <c r="AR27" s="171" t="b">
        <f t="shared" si="20"/>
        <v>0</v>
      </c>
    </row>
    <row r="28" spans="1:44" ht="15" customHeight="1" x14ac:dyDescent="0.25">
      <c r="B28" s="131">
        <v>0</v>
      </c>
      <c r="C28" s="253" t="s">
        <v>11</v>
      </c>
      <c r="D28" s="255">
        <v>10000</v>
      </c>
      <c r="E28" s="328">
        <f>B28*D28</f>
        <v>0</v>
      </c>
      <c r="F28" s="328"/>
      <c r="G28" s="329"/>
      <c r="H28" s="127"/>
      <c r="I28" s="127"/>
      <c r="J28" s="379" t="str">
        <f>IFERROR(VLOOKUP(AH8,Special_Rules,2,TRUE),"")</f>
        <v/>
      </c>
      <c r="K28" s="6"/>
      <c r="L28" s="365" t="str">
        <f>IFERROR(VLOOKUP(C24,StarplayerList,10,FALSE),"") &amp; " " &amp; CHAR(10) &amp;
IFERROR(VLOOKUP(C25,StarplayerList,10,FALSE),"")</f>
        <v xml:space="preserve"> 
</v>
      </c>
      <c r="M28" s="366"/>
      <c r="N28" s="366"/>
      <c r="O28" s="367"/>
      <c r="P28" s="6"/>
      <c r="Q28" s="6"/>
      <c r="R28" s="282" t="s">
        <v>921</v>
      </c>
      <c r="S28" s="281"/>
      <c r="T28" s="283" t="s">
        <v>932</v>
      </c>
      <c r="U28" s="284" t="str">
        <f>J2</f>
        <v>Select Skill Pack</v>
      </c>
      <c r="V28" s="285"/>
      <c r="W28" s="285"/>
      <c r="X28" s="285"/>
      <c r="Y28" s="286"/>
      <c r="Z28" s="6"/>
      <c r="AA28" s="6"/>
      <c r="AB28" s="6"/>
      <c r="AC28" s="6"/>
      <c r="AM28" s="6"/>
      <c r="AN28" s="6"/>
      <c r="AO28" s="6"/>
      <c r="AP28" s="221">
        <v>20</v>
      </c>
      <c r="AQ28" s="168" t="str">
        <f t="shared" si="19"/>
        <v/>
      </c>
      <c r="AR28" s="171" t="b">
        <f t="shared" si="20"/>
        <v>0</v>
      </c>
    </row>
    <row r="29" spans="1:44" ht="14.45" customHeight="1" x14ac:dyDescent="0.25">
      <c r="B29" s="129">
        <v>0</v>
      </c>
      <c r="C29" s="254" t="s">
        <v>12</v>
      </c>
      <c r="D29" s="255">
        <f>1000*IFERROR(VLOOKUP($D$2,Teams!B2:F31,5,FALSE),0)</f>
        <v>0</v>
      </c>
      <c r="E29" s="326">
        <f>B29*D29</f>
        <v>0</v>
      </c>
      <c r="F29" s="326"/>
      <c r="G29" s="327"/>
      <c r="H29" s="127"/>
      <c r="I29" s="127"/>
      <c r="J29" s="380"/>
      <c r="K29" s="227"/>
      <c r="L29" s="368"/>
      <c r="M29" s="369"/>
      <c r="N29" s="369"/>
      <c r="O29" s="370"/>
      <c r="P29" s="6"/>
      <c r="Q29" s="6"/>
      <c r="R29" s="207"/>
      <c r="S29" s="181"/>
      <c r="T29" s="208"/>
      <c r="U29" s="209" t="s">
        <v>925</v>
      </c>
      <c r="V29" s="209" t="s">
        <v>930</v>
      </c>
      <c r="W29" s="210" t="s">
        <v>926</v>
      </c>
      <c r="X29" s="208"/>
      <c r="Y29" s="181" t="e">
        <f>OR(Y30:Y32)</f>
        <v>#N/A</v>
      </c>
      <c r="Z29" s="6"/>
      <c r="AA29" s="6"/>
      <c r="AB29" s="6"/>
      <c r="AC29" s="6"/>
      <c r="AM29" s="6"/>
      <c r="AN29" s="6"/>
      <c r="AO29" s="6"/>
      <c r="AP29" s="221">
        <v>21</v>
      </c>
      <c r="AQ29" s="168" t="str">
        <f t="shared" si="19"/>
        <v/>
      </c>
      <c r="AR29" s="171" t="b">
        <f t="shared" si="20"/>
        <v>0</v>
      </c>
    </row>
    <row r="30" spans="1:44" ht="15" customHeight="1" x14ac:dyDescent="0.25">
      <c r="B30" s="129">
        <v>0</v>
      </c>
      <c r="C30" s="254" t="s">
        <v>13</v>
      </c>
      <c r="D30" s="255">
        <v>10000</v>
      </c>
      <c r="E30" s="326">
        <f>B30*D30</f>
        <v>0</v>
      </c>
      <c r="F30" s="326"/>
      <c r="G30" s="327"/>
      <c r="H30" s="127"/>
      <c r="I30" s="127"/>
      <c r="J30" s="381"/>
      <c r="K30" s="227"/>
      <c r="L30" s="368"/>
      <c r="M30" s="369"/>
      <c r="N30" s="369"/>
      <c r="O30" s="370"/>
      <c r="P30" s="6"/>
      <c r="Q30" s="6"/>
      <c r="R30" s="178" t="s">
        <v>920</v>
      </c>
      <c r="S30" s="181"/>
      <c r="T30" s="210" t="s">
        <v>306</v>
      </c>
      <c r="U30" s="203">
        <f>COUNTIF(L8:L23,"Primary Skill")</f>
        <v>0</v>
      </c>
      <c r="V30" s="203" t="e">
        <f>INDEX(Allowed_skills,MATCH(U28,Skill_Packs!B10:B37,0),2)</f>
        <v>#N/A</v>
      </c>
      <c r="W30" s="180" t="s">
        <v>967</v>
      </c>
      <c r="X30" s="180"/>
      <c r="Y30" s="181" t="e">
        <f>U30+U33&gt;SUM(V30:V31)</f>
        <v>#N/A</v>
      </c>
      <c r="Z30" s="6"/>
      <c r="AA30" s="6"/>
      <c r="AB30" s="6"/>
      <c r="AC30" s="6"/>
      <c r="AM30" s="6"/>
      <c r="AN30" s="6"/>
      <c r="AO30" s="6"/>
      <c r="AP30" s="221">
        <v>22</v>
      </c>
      <c r="AQ30" s="168" t="str">
        <f t="shared" si="19"/>
        <v/>
      </c>
      <c r="AR30" s="171" t="b">
        <f t="shared" si="20"/>
        <v>0</v>
      </c>
    </row>
    <row r="31" spans="1:44" ht="15" customHeight="1" x14ac:dyDescent="0.25">
      <c r="B31" s="129">
        <v>0</v>
      </c>
      <c r="C31" s="254" t="s">
        <v>14</v>
      </c>
      <c r="D31" s="255">
        <v>10000</v>
      </c>
      <c r="E31" s="326">
        <f>B31*D31</f>
        <v>0</v>
      </c>
      <c r="F31" s="326"/>
      <c r="G31" s="327"/>
      <c r="H31" s="127"/>
      <c r="I31" s="127"/>
      <c r="J31" s="380" t="str">
        <f>IFERROR(IFERROR(VLOOKUP(LEFT($AH$8,3),SpecialRules,3,FALSE),"") &amp; IFERROR(VLOOKUP(MID($AH$8,4,3),SpecialRules,3,FALSE),""),"")</f>
        <v/>
      </c>
      <c r="K31" s="227"/>
      <c r="L31" s="368"/>
      <c r="M31" s="369"/>
      <c r="N31" s="369"/>
      <c r="O31" s="370"/>
      <c r="P31" s="6"/>
      <c r="Q31" s="6"/>
      <c r="R31" s="178" t="s">
        <v>919</v>
      </c>
      <c r="S31" s="181"/>
      <c r="T31" s="210" t="s">
        <v>307</v>
      </c>
      <c r="U31" s="203">
        <f>COUNTIF(L8:L23,"Secondary Skill")</f>
        <v>0</v>
      </c>
      <c r="V31" s="203" t="e">
        <f>INDEX(Allowed_skills,MATCH(U28,Skill_Packs!B10:B37,0),3)</f>
        <v>#N/A</v>
      </c>
      <c r="W31" s="180" t="s">
        <v>968</v>
      </c>
      <c r="X31" s="180"/>
      <c r="Y31" s="181" t="e">
        <f>AND(U30+U33=SUM(V30:V31), SUM(U31:U32)&gt;0)</f>
        <v>#N/A</v>
      </c>
      <c r="Z31" s="6"/>
      <c r="AA31" s="6"/>
      <c r="AB31" s="6"/>
      <c r="AC31" s="6"/>
      <c r="AM31" s="6"/>
      <c r="AN31" s="6"/>
      <c r="AO31" s="6"/>
      <c r="AP31" s="221">
        <v>23</v>
      </c>
      <c r="AQ31" s="168" t="str">
        <f t="shared" si="19"/>
        <v/>
      </c>
      <c r="AR31" s="171" t="b">
        <f t="shared" si="20"/>
        <v>0</v>
      </c>
    </row>
    <row r="32" spans="1:44" ht="15" customHeight="1" x14ac:dyDescent="0.25">
      <c r="B32" s="129">
        <v>0</v>
      </c>
      <c r="C32" s="254" t="s">
        <v>817</v>
      </c>
      <c r="D32" s="255">
        <v>50000</v>
      </c>
      <c r="E32" s="326">
        <f t="shared" ref="E32:E34" si="22">B32*D32</f>
        <v>0</v>
      </c>
      <c r="F32" s="326"/>
      <c r="G32" s="327"/>
      <c r="H32" s="87"/>
      <c r="I32" s="87"/>
      <c r="J32" s="380"/>
      <c r="K32" s="227"/>
      <c r="L32" s="368"/>
      <c r="M32" s="369"/>
      <c r="N32" s="369"/>
      <c r="O32" s="370"/>
      <c r="P32" s="6"/>
      <c r="Q32" s="6"/>
      <c r="R32" s="178" t="s">
        <v>933</v>
      </c>
      <c r="S32" s="181"/>
      <c r="T32" s="210" t="s">
        <v>923</v>
      </c>
      <c r="U32" s="203">
        <f>COUNTIF(N8:N23,"Primary Skill")</f>
        <v>0</v>
      </c>
      <c r="V32" s="203"/>
      <c r="W32" s="180" t="s">
        <v>969</v>
      </c>
      <c r="X32" s="180"/>
      <c r="Y32" s="181" t="e">
        <f>SUM(U31:U32)&gt;V31</f>
        <v>#N/A</v>
      </c>
      <c r="Z32" s="6"/>
      <c r="AA32" s="6"/>
      <c r="AB32" s="6"/>
      <c r="AC32" s="6"/>
      <c r="AM32" s="6"/>
      <c r="AN32" s="6"/>
      <c r="AO32" s="6"/>
      <c r="AP32" s="221">
        <v>24</v>
      </c>
      <c r="AQ32" s="168" t="str">
        <f t="shared" si="19"/>
        <v/>
      </c>
      <c r="AR32" s="171" t="b">
        <f t="shared" si="20"/>
        <v>0</v>
      </c>
    </row>
    <row r="33" spans="1:44" x14ac:dyDescent="0.25">
      <c r="B33" s="129">
        <v>0</v>
      </c>
      <c r="C33" s="254" t="s">
        <v>818</v>
      </c>
      <c r="D33" s="255">
        <f>AH14</f>
        <v>100000</v>
      </c>
      <c r="E33" s="326">
        <f t="shared" si="22"/>
        <v>0</v>
      </c>
      <c r="F33" s="326"/>
      <c r="G33" s="327"/>
      <c r="H33" s="87"/>
      <c r="I33" s="87"/>
      <c r="J33" s="380"/>
      <c r="K33" s="227"/>
      <c r="L33" s="368"/>
      <c r="M33" s="369"/>
      <c r="N33" s="369"/>
      <c r="O33" s="370"/>
      <c r="P33" s="6"/>
      <c r="Q33" s="6"/>
      <c r="R33" s="204"/>
      <c r="S33" s="200"/>
      <c r="T33" s="211" t="s">
        <v>966</v>
      </c>
      <c r="U33" s="205">
        <f>IFERROR(VLOOKUP(C24,StarplayerList,13,FALSE),0) + IFERROR(VLOOKUP(C25,StarplayerList,13,FALSE),0)</f>
        <v>0</v>
      </c>
      <c r="V33" s="205"/>
      <c r="W33" s="182"/>
      <c r="X33" s="182"/>
      <c r="Y33" s="200"/>
      <c r="Z33" s="6"/>
      <c r="AA33" s="6"/>
      <c r="AB33" s="6"/>
      <c r="AC33" s="6"/>
      <c r="AM33" s="6"/>
      <c r="AN33" s="6"/>
      <c r="AO33" s="6"/>
      <c r="AP33" s="221">
        <v>25</v>
      </c>
      <c r="AQ33" s="168" t="str">
        <f t="shared" si="19"/>
        <v/>
      </c>
      <c r="AR33" s="171" t="b">
        <f t="shared" si="20"/>
        <v>0</v>
      </c>
    </row>
    <row r="34" spans="1:44" x14ac:dyDescent="0.25">
      <c r="B34" s="129">
        <v>0</v>
      </c>
      <c r="C34" s="254" t="s">
        <v>819</v>
      </c>
      <c r="D34" s="255">
        <f>AH13</f>
        <v>300000</v>
      </c>
      <c r="E34" s="326">
        <f t="shared" si="22"/>
        <v>0</v>
      </c>
      <c r="F34" s="326"/>
      <c r="G34" s="327"/>
      <c r="H34" s="87"/>
      <c r="I34" s="87"/>
      <c r="J34" s="380"/>
      <c r="K34" s="227"/>
      <c r="L34" s="368"/>
      <c r="M34" s="369"/>
      <c r="N34" s="369"/>
      <c r="O34" s="370"/>
      <c r="P34" s="6"/>
      <c r="Q34" s="16"/>
      <c r="R34" s="6"/>
      <c r="S34" s="6"/>
      <c r="T34" s="6"/>
      <c r="U34" s="6"/>
      <c r="V34" s="6"/>
      <c r="W34" s="6"/>
      <c r="X34" s="6"/>
      <c r="Y34" s="6"/>
      <c r="Z34" s="6"/>
      <c r="AA34" s="6"/>
      <c r="AB34" s="6"/>
      <c r="AC34" s="6"/>
      <c r="AM34" s="6"/>
      <c r="AN34" s="6"/>
      <c r="AO34" s="6"/>
      <c r="AP34" s="221">
        <v>26</v>
      </c>
      <c r="AQ34" s="168" t="str">
        <f t="shared" si="19"/>
        <v/>
      </c>
      <c r="AR34" s="171" t="b">
        <f t="shared" si="20"/>
        <v>0</v>
      </c>
    </row>
    <row r="35" spans="1:44" x14ac:dyDescent="0.25">
      <c r="B35" s="129">
        <v>0</v>
      </c>
      <c r="C35" s="254" t="s">
        <v>816</v>
      </c>
      <c r="D35" s="255" t="s">
        <v>815</v>
      </c>
      <c r="E35" s="326">
        <f>IF(B35&lt;1,B35*50000,(B35-1)*100000+50000)</f>
        <v>0</v>
      </c>
      <c r="F35" s="326"/>
      <c r="G35" s="327"/>
      <c r="H35" s="87"/>
      <c r="I35" s="87"/>
      <c r="J35" s="380"/>
      <c r="K35" s="227"/>
      <c r="L35" s="368"/>
      <c r="M35" s="369"/>
      <c r="N35" s="369"/>
      <c r="O35" s="370"/>
      <c r="P35" s="6"/>
      <c r="Q35" s="6"/>
      <c r="R35" s="212" t="s">
        <v>934</v>
      </c>
      <c r="S35" s="214"/>
      <c r="T35" s="223"/>
      <c r="U35" s="214"/>
      <c r="V35" s="214"/>
      <c r="W35" s="223"/>
      <c r="X35" s="214"/>
      <c r="Y35" s="214"/>
      <c r="Z35" s="223"/>
      <c r="AA35" s="214"/>
      <c r="AB35" s="214"/>
      <c r="AC35" s="223"/>
      <c r="AD35" s="214"/>
      <c r="AE35" s="214"/>
      <c r="AF35" s="214"/>
      <c r="AG35" s="214"/>
      <c r="AH35" s="214"/>
      <c r="AI35" s="214"/>
      <c r="AJ35" s="214"/>
      <c r="AK35" s="214"/>
      <c r="AL35" s="214"/>
      <c r="AM35" s="214"/>
      <c r="AN35" s="215"/>
      <c r="AO35" s="6"/>
      <c r="AP35" s="221">
        <v>27</v>
      </c>
      <c r="AQ35" s="168" t="str">
        <f t="shared" si="19"/>
        <v/>
      </c>
      <c r="AR35" s="171" t="b">
        <f t="shared" si="20"/>
        <v>0</v>
      </c>
    </row>
    <row r="36" spans="1:44" ht="15.75" thickBot="1" x14ac:dyDescent="0.3">
      <c r="B36" s="288">
        <v>0</v>
      </c>
      <c r="C36" s="289" t="str">
        <f>AH12</f>
        <v/>
      </c>
      <c r="D36" s="290">
        <v>100000</v>
      </c>
      <c r="E36" s="383">
        <f>B36*D36</f>
        <v>0</v>
      </c>
      <c r="F36" s="383"/>
      <c r="G36" s="384"/>
      <c r="H36" s="87"/>
      <c r="J36" s="380"/>
      <c r="K36" s="6"/>
      <c r="L36" s="368"/>
      <c r="M36" s="369"/>
      <c r="N36" s="369"/>
      <c r="O36" s="370"/>
      <c r="P36" s="6"/>
      <c r="Q36" s="6"/>
      <c r="R36" s="178" t="s">
        <v>931</v>
      </c>
      <c r="S36" s="180" t="s">
        <v>28</v>
      </c>
      <c r="T36" s="188" t="s">
        <v>7</v>
      </c>
      <c r="U36" s="180" t="s">
        <v>118</v>
      </c>
      <c r="V36" s="180" t="s">
        <v>295</v>
      </c>
      <c r="W36" s="188" t="s">
        <v>299</v>
      </c>
      <c r="X36" s="180" t="s">
        <v>304</v>
      </c>
      <c r="Y36" s="180" t="s">
        <v>296</v>
      </c>
      <c r="Z36" s="188" t="s">
        <v>308</v>
      </c>
      <c r="AA36" s="180" t="s">
        <v>309</v>
      </c>
      <c r="AB36" s="180" t="s">
        <v>29</v>
      </c>
      <c r="AC36" s="188" t="s">
        <v>303</v>
      </c>
      <c r="AD36" s="180" t="s">
        <v>302</v>
      </c>
      <c r="AE36" s="180" t="s">
        <v>294</v>
      </c>
      <c r="AF36" s="188" t="s">
        <v>300</v>
      </c>
      <c r="AG36" s="180" t="s">
        <v>297</v>
      </c>
      <c r="AH36" s="180" t="s">
        <v>293</v>
      </c>
      <c r="AI36" s="180" t="s">
        <v>298</v>
      </c>
      <c r="AJ36" s="188" t="s">
        <v>310</v>
      </c>
      <c r="AK36" s="180" t="s">
        <v>301</v>
      </c>
      <c r="AL36" s="180" t="s">
        <v>32</v>
      </c>
      <c r="AM36" s="180" t="s">
        <v>670</v>
      </c>
      <c r="AN36" s="181" t="s">
        <v>31</v>
      </c>
      <c r="AO36" s="6"/>
      <c r="AP36" s="221">
        <v>28</v>
      </c>
      <c r="AQ36" s="168" t="str">
        <f t="shared" si="19"/>
        <v/>
      </c>
      <c r="AR36" s="171" t="b">
        <f t="shared" si="20"/>
        <v>0</v>
      </c>
    </row>
    <row r="37" spans="1:44" ht="15.75" thickBot="1" x14ac:dyDescent="0.3">
      <c r="B37" s="374" t="s">
        <v>804</v>
      </c>
      <c r="C37" s="375"/>
      <c r="D37" s="376"/>
      <c r="E37" s="377">
        <f>SUM(K8:K25)+SUM(E28:G36)</f>
        <v>0</v>
      </c>
      <c r="F37" s="377"/>
      <c r="G37" s="378"/>
      <c r="H37" s="87"/>
      <c r="I37" s="87"/>
      <c r="J37" s="382"/>
      <c r="K37" s="6"/>
      <c r="L37" s="371"/>
      <c r="M37" s="372"/>
      <c r="N37" s="372"/>
      <c r="O37" s="373"/>
      <c r="P37" s="6"/>
      <c r="Q37" s="6"/>
      <c r="R37" s="178" t="str">
        <f>CONCATENATE(ADDRESS(ROW()+1,COLUMN()),":",ADDRESS(ROW()+15,COLUMN()))</f>
        <v>$R$38:$R$52</v>
      </c>
      <c r="S37" s="180" t="str">
        <f>CONCATENATE(ADDRESS(ROW()+1,COLUMN()),":",ADDRESS(ROW()+40,COLUMN()))</f>
        <v>$S$38:$S$77</v>
      </c>
      <c r="T37" s="180" t="str">
        <f t="shared" ref="T37:AN37" si="23">CONCATENATE(ADDRESS(ROW()+1,COLUMN()),":",ADDRESS(ROW()+40,COLUMN()))</f>
        <v>$T$38:$T$77</v>
      </c>
      <c r="U37" s="180" t="str">
        <f t="shared" si="23"/>
        <v>$U$38:$U$77</v>
      </c>
      <c r="V37" s="180" t="str">
        <f t="shared" si="23"/>
        <v>$V$38:$V$77</v>
      </c>
      <c r="W37" s="180" t="str">
        <f t="shared" si="23"/>
        <v>$W$38:$W$77</v>
      </c>
      <c r="X37" s="180" t="str">
        <f t="shared" si="23"/>
        <v>$X$38:$X$77</v>
      </c>
      <c r="Y37" s="180" t="str">
        <f t="shared" si="23"/>
        <v>$Y$38:$Y$77</v>
      </c>
      <c r="Z37" s="180" t="str">
        <f t="shared" si="23"/>
        <v>$Z$38:$Z$77</v>
      </c>
      <c r="AA37" s="180" t="str">
        <f t="shared" si="23"/>
        <v>$AA$38:$AA$77</v>
      </c>
      <c r="AB37" s="180" t="str">
        <f t="shared" si="23"/>
        <v>$AB$38:$AB$77</v>
      </c>
      <c r="AC37" s="180" t="str">
        <f t="shared" si="23"/>
        <v>$AC$38:$AC$77</v>
      </c>
      <c r="AD37" s="180" t="str">
        <f t="shared" si="23"/>
        <v>$AD$38:$AD$77</v>
      </c>
      <c r="AE37" s="180" t="str">
        <f t="shared" si="23"/>
        <v>$AE$38:$AE$77</v>
      </c>
      <c r="AF37" s="180" t="str">
        <f t="shared" si="23"/>
        <v>$AF$38:$AF$77</v>
      </c>
      <c r="AG37" s="180" t="str">
        <f t="shared" si="23"/>
        <v>$AG$38:$AG$77</v>
      </c>
      <c r="AH37" s="180" t="str">
        <f t="shared" si="23"/>
        <v>$AH$38:$AH$77</v>
      </c>
      <c r="AI37" s="180" t="str">
        <f t="shared" si="23"/>
        <v>$AI$38:$AI$77</v>
      </c>
      <c r="AJ37" s="180" t="str">
        <f t="shared" si="23"/>
        <v>$AJ$38:$AJ$77</v>
      </c>
      <c r="AK37" s="180" t="str">
        <f t="shared" si="23"/>
        <v>$AK$38:$AK$77</v>
      </c>
      <c r="AL37" s="180" t="str">
        <f t="shared" si="23"/>
        <v>$AL$38:$AL$77</v>
      </c>
      <c r="AM37" s="180" t="str">
        <f t="shared" si="23"/>
        <v>$AM$38:$AM$77</v>
      </c>
      <c r="AN37" s="181" t="str">
        <f t="shared" si="23"/>
        <v>$AN$38:$AN$77</v>
      </c>
      <c r="AO37" s="6"/>
      <c r="AP37" s="221">
        <v>29</v>
      </c>
      <c r="AQ37" s="168" t="str">
        <f t="shared" si="19"/>
        <v/>
      </c>
      <c r="AR37" s="171" t="b">
        <f t="shared" si="20"/>
        <v>0</v>
      </c>
    </row>
    <row r="38" spans="1:44" ht="30" customHeight="1" x14ac:dyDescent="0.25">
      <c r="B38" s="22"/>
      <c r="C38" s="6"/>
      <c r="D38" s="6"/>
      <c r="E38" s="87"/>
      <c r="F38" s="87"/>
      <c r="G38" s="87"/>
      <c r="H38" s="87"/>
      <c r="I38" s="87"/>
      <c r="J38" s="6"/>
      <c r="K38" s="6"/>
      <c r="L38" s="227"/>
      <c r="M38" s="6"/>
      <c r="N38" s="6"/>
      <c r="O38" s="6"/>
      <c r="P38" s="6"/>
      <c r="Q38" s="6"/>
      <c r="R38" s="178"/>
      <c r="S38" s="180"/>
      <c r="T38" s="180"/>
      <c r="U38" s="180"/>
      <c r="V38" s="180"/>
      <c r="W38" s="180"/>
      <c r="X38" s="180"/>
      <c r="Y38" s="180"/>
      <c r="Z38" s="180"/>
      <c r="AA38" s="180"/>
      <c r="AB38" s="180"/>
      <c r="AC38" s="180"/>
      <c r="AD38" s="180"/>
      <c r="AE38" s="180"/>
      <c r="AF38" s="180"/>
      <c r="AG38" s="180"/>
      <c r="AH38" s="180"/>
      <c r="AI38" s="180"/>
      <c r="AJ38" s="180"/>
      <c r="AK38" s="180"/>
      <c r="AL38" s="180"/>
      <c r="AM38" s="180"/>
      <c r="AN38" s="181"/>
      <c r="AO38" s="6"/>
      <c r="AP38" s="222">
        <v>30</v>
      </c>
      <c r="AQ38" s="173" t="str">
        <f t="shared" si="19"/>
        <v/>
      </c>
      <c r="AR38" s="174" t="b">
        <f t="shared" si="20"/>
        <v>0</v>
      </c>
    </row>
    <row r="39" spans="1:44" ht="60" customHeight="1" x14ac:dyDescent="0.25">
      <c r="A39"/>
      <c r="B39" s="358" t="str">
        <f>IF(D4&lt;&gt;"",D4 &amp; IF(D5&lt;&gt;""," (" &amp; D5 &amp; ")",""),"") &amp; IF(D3&lt;&gt;""," - " &amp; D3,"") &amp; IF(AND(D2&lt;&gt;"",D2&lt;&gt;"Select Team")," [" &amp; D2 &amp; "]","")</f>
        <v/>
      </c>
      <c r="C39" s="358"/>
      <c r="D39" s="358"/>
      <c r="E39" s="358"/>
      <c r="F39" s="358"/>
      <c r="G39" s="358"/>
      <c r="H39" s="358"/>
      <c r="I39" s="358"/>
      <c r="J39" s="358"/>
      <c r="K39" s="358"/>
      <c r="L39" s="358"/>
      <c r="M39" s="358"/>
      <c r="N39" s="358"/>
      <c r="O39" s="358"/>
      <c r="P39" s="6"/>
      <c r="Q39"/>
      <c r="R39" s="207" t="s">
        <v>807</v>
      </c>
      <c r="S39" s="224" t="s">
        <v>33</v>
      </c>
      <c r="T39" s="224" t="s">
        <v>33</v>
      </c>
      <c r="U39" s="224" t="s">
        <v>33</v>
      </c>
      <c r="V39" s="224" t="s">
        <v>33</v>
      </c>
      <c r="W39" s="224" t="s">
        <v>33</v>
      </c>
      <c r="X39" s="224" t="s">
        <v>33</v>
      </c>
      <c r="Y39" s="224" t="s">
        <v>33</v>
      </c>
      <c r="Z39" s="224" t="s">
        <v>33</v>
      </c>
      <c r="AA39" s="224" t="s">
        <v>33</v>
      </c>
      <c r="AB39" s="224" t="s">
        <v>45</v>
      </c>
      <c r="AC39" s="224" t="s">
        <v>45</v>
      </c>
      <c r="AD39" s="224" t="s">
        <v>45</v>
      </c>
      <c r="AE39" s="224" t="s">
        <v>45</v>
      </c>
      <c r="AF39" s="224" t="s">
        <v>45</v>
      </c>
      <c r="AG39" s="224" t="s">
        <v>45</v>
      </c>
      <c r="AH39" s="224" t="s">
        <v>45</v>
      </c>
      <c r="AI39" s="224" t="s">
        <v>57</v>
      </c>
      <c r="AJ39" s="224" t="s">
        <v>57</v>
      </c>
      <c r="AK39" s="224" t="s">
        <v>68</v>
      </c>
      <c r="AL39" s="224" t="s">
        <v>80</v>
      </c>
      <c r="AM39" s="224" t="s">
        <v>33</v>
      </c>
      <c r="AN39" s="225" t="s">
        <v>68</v>
      </c>
      <c r="AO39" s="6"/>
      <c r="AP39" s="6"/>
      <c r="AQ39" s="6"/>
      <c r="AR39" s="6"/>
    </row>
    <row r="40" spans="1:44" ht="60" customHeight="1" x14ac:dyDescent="0.25">
      <c r="A40"/>
      <c r="B40" s="359" t="str">
        <f>IF(AND(SquadName&lt;&gt;"",SquadName&lt;&gt;"Enter Squad Name"),"Squad "&amp; SquadName,"")</f>
        <v/>
      </c>
      <c r="C40" s="359"/>
      <c r="D40" s="359"/>
      <c r="E40" s="359"/>
      <c r="F40" s="359"/>
      <c r="G40" s="359"/>
      <c r="H40" s="359"/>
      <c r="I40" s="359"/>
      <c r="J40" s="359"/>
      <c r="K40" s="359"/>
      <c r="L40" s="359"/>
      <c r="M40" s="359"/>
      <c r="N40" s="359"/>
      <c r="O40" s="359"/>
      <c r="Q40"/>
      <c r="R40" s="207" t="s">
        <v>808</v>
      </c>
      <c r="S40" s="224" t="s">
        <v>34</v>
      </c>
      <c r="T40" s="224" t="s">
        <v>34</v>
      </c>
      <c r="U40" s="224" t="s">
        <v>34</v>
      </c>
      <c r="V40" s="224" t="s">
        <v>34</v>
      </c>
      <c r="W40" s="224" t="s">
        <v>34</v>
      </c>
      <c r="X40" s="224" t="s">
        <v>34</v>
      </c>
      <c r="Y40" s="224" t="s">
        <v>34</v>
      </c>
      <c r="Z40" s="224" t="s">
        <v>34</v>
      </c>
      <c r="AA40" s="224" t="s">
        <v>34</v>
      </c>
      <c r="AB40" s="224" t="s">
        <v>46</v>
      </c>
      <c r="AC40" s="224" t="s">
        <v>46</v>
      </c>
      <c r="AD40" s="224" t="s">
        <v>46</v>
      </c>
      <c r="AE40" s="224" t="s">
        <v>46</v>
      </c>
      <c r="AF40" s="224" t="s">
        <v>46</v>
      </c>
      <c r="AG40" s="224" t="s">
        <v>46</v>
      </c>
      <c r="AH40" s="224" t="s">
        <v>46</v>
      </c>
      <c r="AI40" s="224" t="s">
        <v>58</v>
      </c>
      <c r="AJ40" s="224" t="s">
        <v>58</v>
      </c>
      <c r="AK40" s="224" t="s">
        <v>69</v>
      </c>
      <c r="AL40" s="224" t="s">
        <v>81</v>
      </c>
      <c r="AM40" s="224" t="s">
        <v>34</v>
      </c>
      <c r="AN40" s="225" t="s">
        <v>69</v>
      </c>
      <c r="AO40" s="6"/>
      <c r="AP40" s="6"/>
      <c r="AQ40" s="6"/>
      <c r="AR40" s="6"/>
    </row>
    <row r="41" spans="1:44" ht="14.25" customHeight="1" x14ac:dyDescent="0.25">
      <c r="B41" s="22"/>
      <c r="C41" s="247"/>
      <c r="D41" s="247"/>
      <c r="E41" s="247"/>
      <c r="F41" s="247"/>
      <c r="G41" s="247"/>
      <c r="H41" s="247"/>
      <c r="I41" s="247"/>
      <c r="J41" s="247"/>
      <c r="K41" s="247"/>
      <c r="L41" s="247"/>
      <c r="M41" s="247"/>
      <c r="N41" s="247"/>
      <c r="O41" s="247"/>
      <c r="P41" s="6"/>
      <c r="Q41"/>
      <c r="R41" s="207" t="s">
        <v>809</v>
      </c>
      <c r="S41" s="224" t="s">
        <v>35</v>
      </c>
      <c r="T41" s="224" t="s">
        <v>35</v>
      </c>
      <c r="U41" s="224" t="s">
        <v>35</v>
      </c>
      <c r="V41" s="224" t="s">
        <v>35</v>
      </c>
      <c r="W41" s="224" t="s">
        <v>35</v>
      </c>
      <c r="X41" s="224" t="s">
        <v>35</v>
      </c>
      <c r="Y41" s="224" t="s">
        <v>35</v>
      </c>
      <c r="Z41" s="224" t="s">
        <v>35</v>
      </c>
      <c r="AA41" s="224" t="s">
        <v>35</v>
      </c>
      <c r="AB41" s="224" t="s">
        <v>47</v>
      </c>
      <c r="AC41" s="224" t="s">
        <v>47</v>
      </c>
      <c r="AD41" s="224" t="s">
        <v>47</v>
      </c>
      <c r="AE41" s="224" t="s">
        <v>47</v>
      </c>
      <c r="AF41" s="224" t="s">
        <v>47</v>
      </c>
      <c r="AG41" s="224" t="s">
        <v>47</v>
      </c>
      <c r="AH41" s="224" t="s">
        <v>47</v>
      </c>
      <c r="AI41" s="224" t="s">
        <v>59</v>
      </c>
      <c r="AJ41" s="224" t="s">
        <v>59</v>
      </c>
      <c r="AK41" s="224" t="s">
        <v>70</v>
      </c>
      <c r="AL41" s="224" t="s">
        <v>82</v>
      </c>
      <c r="AM41" s="224" t="s">
        <v>35</v>
      </c>
      <c r="AN41" s="225" t="s">
        <v>70</v>
      </c>
      <c r="AO41" s="6"/>
      <c r="AP41" s="6"/>
      <c r="AQ41" s="6"/>
      <c r="AR41" s="6"/>
    </row>
    <row r="42" spans="1:44" ht="15" hidden="1" customHeight="1" x14ac:dyDescent="0.25">
      <c r="A42"/>
      <c r="B42" s="246"/>
      <c r="C42" s="246"/>
      <c r="D42" s="246"/>
      <c r="E42" s="246"/>
      <c r="F42" s="246"/>
      <c r="G42" s="246"/>
      <c r="H42" s="246"/>
      <c r="I42" s="246"/>
      <c r="J42" s="246"/>
      <c r="K42" s="246"/>
      <c r="L42" s="246"/>
      <c r="M42" s="246"/>
      <c r="N42" s="246"/>
      <c r="O42" s="246"/>
      <c r="Q42"/>
      <c r="R42" s="207" t="s">
        <v>810</v>
      </c>
      <c r="S42" s="224" t="s">
        <v>36</v>
      </c>
      <c r="T42" s="224" t="s">
        <v>36</v>
      </c>
      <c r="U42" s="224" t="s">
        <v>36</v>
      </c>
      <c r="V42" s="224" t="s">
        <v>36</v>
      </c>
      <c r="W42" s="224" t="s">
        <v>36</v>
      </c>
      <c r="X42" s="224" t="s">
        <v>36</v>
      </c>
      <c r="Y42" s="224" t="s">
        <v>36</v>
      </c>
      <c r="Z42" s="224" t="s">
        <v>36</v>
      </c>
      <c r="AA42" s="224" t="s">
        <v>36</v>
      </c>
      <c r="AB42" s="224" t="s">
        <v>48</v>
      </c>
      <c r="AC42" s="224" t="s">
        <v>48</v>
      </c>
      <c r="AD42" s="224" t="s">
        <v>48</v>
      </c>
      <c r="AE42" s="224" t="s">
        <v>48</v>
      </c>
      <c r="AF42" s="224" t="s">
        <v>48</v>
      </c>
      <c r="AG42" s="224" t="s">
        <v>48</v>
      </c>
      <c r="AH42" s="224" t="s">
        <v>48</v>
      </c>
      <c r="AI42" s="224" t="s">
        <v>60</v>
      </c>
      <c r="AJ42" s="224" t="s">
        <v>60</v>
      </c>
      <c r="AK42" s="224" t="s">
        <v>71</v>
      </c>
      <c r="AL42" s="224" t="s">
        <v>83</v>
      </c>
      <c r="AM42" s="224" t="s">
        <v>36</v>
      </c>
      <c r="AN42" s="225" t="s">
        <v>71</v>
      </c>
      <c r="AO42" s="6"/>
      <c r="AP42" s="6"/>
      <c r="AQ42" s="6"/>
      <c r="AR42" s="6"/>
    </row>
    <row r="43" spans="1:44" hidden="1" x14ac:dyDescent="0.25">
      <c r="A43"/>
      <c r="B43"/>
      <c r="E43"/>
      <c r="F43"/>
      <c r="G43"/>
      <c r="H43"/>
      <c r="I43"/>
      <c r="L43" s="6"/>
      <c r="Q43"/>
      <c r="R43" s="207"/>
      <c r="S43" s="224" t="s">
        <v>37</v>
      </c>
      <c r="T43" s="224" t="s">
        <v>37</v>
      </c>
      <c r="U43" s="224" t="s">
        <v>37</v>
      </c>
      <c r="V43" s="224" t="s">
        <v>37</v>
      </c>
      <c r="W43" s="224" t="s">
        <v>37</v>
      </c>
      <c r="X43" s="224" t="s">
        <v>37</v>
      </c>
      <c r="Y43" s="224" t="s">
        <v>37</v>
      </c>
      <c r="Z43" s="224" t="s">
        <v>37</v>
      </c>
      <c r="AA43" s="224" t="s">
        <v>37</v>
      </c>
      <c r="AB43" s="224" t="s">
        <v>49</v>
      </c>
      <c r="AC43" s="224" t="s">
        <v>49</v>
      </c>
      <c r="AD43" s="224" t="s">
        <v>49</v>
      </c>
      <c r="AE43" s="224" t="s">
        <v>49</v>
      </c>
      <c r="AF43" s="224" t="s">
        <v>49</v>
      </c>
      <c r="AG43" s="224" t="s">
        <v>49</v>
      </c>
      <c r="AH43" s="224" t="s">
        <v>49</v>
      </c>
      <c r="AI43" s="224" t="s">
        <v>61</v>
      </c>
      <c r="AJ43" s="224" t="s">
        <v>61</v>
      </c>
      <c r="AK43" s="224" t="s">
        <v>72</v>
      </c>
      <c r="AL43" s="224" t="s">
        <v>84</v>
      </c>
      <c r="AM43" s="224" t="s">
        <v>37</v>
      </c>
      <c r="AN43" s="225" t="s">
        <v>72</v>
      </c>
      <c r="AO43" s="6"/>
      <c r="AP43" s="6"/>
      <c r="AQ43" s="6"/>
      <c r="AR43" s="6"/>
    </row>
    <row r="44" spans="1:44" hidden="1" x14ac:dyDescent="0.25">
      <c r="A44"/>
      <c r="B44"/>
      <c r="E44"/>
      <c r="F44"/>
      <c r="G44"/>
      <c r="H44"/>
      <c r="I44"/>
      <c r="Q44"/>
      <c r="R44" s="207"/>
      <c r="S44" s="224" t="s">
        <v>38</v>
      </c>
      <c r="T44" s="224" t="s">
        <v>38</v>
      </c>
      <c r="U44" s="224" t="s">
        <v>38</v>
      </c>
      <c r="V44" s="224" t="s">
        <v>38</v>
      </c>
      <c r="W44" s="224" t="s">
        <v>38</v>
      </c>
      <c r="X44" s="224" t="s">
        <v>38</v>
      </c>
      <c r="Y44" s="224" t="s">
        <v>38</v>
      </c>
      <c r="Z44" s="224" t="s">
        <v>38</v>
      </c>
      <c r="AA44" s="224" t="s">
        <v>38</v>
      </c>
      <c r="AB44" s="224" t="s">
        <v>50</v>
      </c>
      <c r="AC44" s="224" t="s">
        <v>50</v>
      </c>
      <c r="AD44" s="224" t="s">
        <v>50</v>
      </c>
      <c r="AE44" s="224" t="s">
        <v>50</v>
      </c>
      <c r="AF44" s="224" t="s">
        <v>50</v>
      </c>
      <c r="AG44" s="224" t="s">
        <v>50</v>
      </c>
      <c r="AH44" s="224" t="s">
        <v>50</v>
      </c>
      <c r="AI44" s="224" t="s">
        <v>62</v>
      </c>
      <c r="AJ44" s="224" t="s">
        <v>62</v>
      </c>
      <c r="AK44" s="224" t="s">
        <v>73</v>
      </c>
      <c r="AL44" s="224" t="s">
        <v>85</v>
      </c>
      <c r="AM44" s="224" t="s">
        <v>38</v>
      </c>
      <c r="AN44" s="225" t="s">
        <v>73</v>
      </c>
      <c r="AO44" s="6"/>
      <c r="AP44" s="6"/>
      <c r="AQ44" s="6"/>
      <c r="AR44" s="6"/>
    </row>
    <row r="45" spans="1:44" hidden="1" x14ac:dyDescent="0.25">
      <c r="A45"/>
      <c r="B45"/>
      <c r="E45"/>
      <c r="F45"/>
      <c r="G45"/>
      <c r="H45"/>
      <c r="I45"/>
      <c r="Q45"/>
      <c r="R45" s="207"/>
      <c r="S45" s="224" t="s">
        <v>39</v>
      </c>
      <c r="T45" s="224" t="s">
        <v>39</v>
      </c>
      <c r="U45" s="224" t="s">
        <v>39</v>
      </c>
      <c r="V45" s="224" t="s">
        <v>39</v>
      </c>
      <c r="W45" s="224" t="s">
        <v>39</v>
      </c>
      <c r="X45" s="224" t="s">
        <v>39</v>
      </c>
      <c r="Y45" s="224" t="s">
        <v>39</v>
      </c>
      <c r="Z45" s="224" t="s">
        <v>39</v>
      </c>
      <c r="AA45" s="224" t="s">
        <v>39</v>
      </c>
      <c r="AB45" s="224" t="s">
        <v>51</v>
      </c>
      <c r="AC45" s="224" t="s">
        <v>51</v>
      </c>
      <c r="AD45" s="224" t="s">
        <v>51</v>
      </c>
      <c r="AE45" s="224" t="s">
        <v>51</v>
      </c>
      <c r="AF45" s="224" t="s">
        <v>51</v>
      </c>
      <c r="AG45" s="224" t="s">
        <v>51</v>
      </c>
      <c r="AH45" s="224" t="s">
        <v>51</v>
      </c>
      <c r="AI45" s="224" t="s">
        <v>63</v>
      </c>
      <c r="AJ45" s="224" t="s">
        <v>63</v>
      </c>
      <c r="AK45" s="224" t="s">
        <v>74</v>
      </c>
      <c r="AL45" s="224" t="s">
        <v>86</v>
      </c>
      <c r="AM45" s="224" t="s">
        <v>39</v>
      </c>
      <c r="AN45" s="225" t="s">
        <v>74</v>
      </c>
      <c r="AO45" s="6"/>
      <c r="AP45" s="6"/>
      <c r="AQ45" s="6"/>
      <c r="AR45" s="6"/>
    </row>
    <row r="46" spans="1:44" hidden="1" x14ac:dyDescent="0.25">
      <c r="A46"/>
      <c r="B46"/>
      <c r="E46"/>
      <c r="F46"/>
      <c r="G46"/>
      <c r="H46"/>
      <c r="I46"/>
      <c r="Q46"/>
      <c r="R46" s="207"/>
      <c r="S46" s="224" t="s">
        <v>40</v>
      </c>
      <c r="T46" s="224" t="s">
        <v>40</v>
      </c>
      <c r="U46" s="224" t="s">
        <v>40</v>
      </c>
      <c r="V46" s="224" t="s">
        <v>40</v>
      </c>
      <c r="W46" s="224" t="s">
        <v>40</v>
      </c>
      <c r="X46" s="224" t="s">
        <v>40</v>
      </c>
      <c r="Y46" s="224" t="s">
        <v>40</v>
      </c>
      <c r="Z46" s="224" t="s">
        <v>40</v>
      </c>
      <c r="AA46" s="224" t="s">
        <v>40</v>
      </c>
      <c r="AB46" s="224" t="s">
        <v>52</v>
      </c>
      <c r="AC46" s="224" t="s">
        <v>52</v>
      </c>
      <c r="AD46" s="224" t="s">
        <v>52</v>
      </c>
      <c r="AE46" s="224" t="s">
        <v>52</v>
      </c>
      <c r="AF46" s="224" t="s">
        <v>52</v>
      </c>
      <c r="AG46" s="224" t="s">
        <v>52</v>
      </c>
      <c r="AH46" s="224" t="s">
        <v>52</v>
      </c>
      <c r="AI46" s="224" t="s">
        <v>635</v>
      </c>
      <c r="AJ46" s="224" t="s">
        <v>635</v>
      </c>
      <c r="AK46" s="224" t="s">
        <v>75</v>
      </c>
      <c r="AL46" s="224" t="s">
        <v>87</v>
      </c>
      <c r="AM46" s="224" t="s">
        <v>40</v>
      </c>
      <c r="AN46" s="225" t="s">
        <v>75</v>
      </c>
      <c r="AO46" s="6"/>
      <c r="AP46" s="6"/>
      <c r="AQ46" s="6"/>
      <c r="AR46" s="6"/>
    </row>
    <row r="47" spans="1:44" hidden="1" x14ac:dyDescent="0.25">
      <c r="A47"/>
      <c r="B47"/>
      <c r="E47"/>
      <c r="F47"/>
      <c r="G47"/>
      <c r="H47"/>
      <c r="I47"/>
      <c r="Q47"/>
      <c r="R47" s="207"/>
      <c r="S47" s="224" t="s">
        <v>41</v>
      </c>
      <c r="T47" s="224" t="s">
        <v>41</v>
      </c>
      <c r="U47" s="224" t="s">
        <v>41</v>
      </c>
      <c r="V47" s="224" t="s">
        <v>41</v>
      </c>
      <c r="W47" s="224" t="s">
        <v>41</v>
      </c>
      <c r="X47" s="224" t="s">
        <v>41</v>
      </c>
      <c r="Y47" s="224" t="s">
        <v>41</v>
      </c>
      <c r="Z47" s="224" t="s">
        <v>41</v>
      </c>
      <c r="AA47" s="224" t="s">
        <v>41</v>
      </c>
      <c r="AB47" s="224" t="s">
        <v>53</v>
      </c>
      <c r="AC47" s="224" t="s">
        <v>53</v>
      </c>
      <c r="AD47" s="224" t="s">
        <v>53</v>
      </c>
      <c r="AE47" s="224" t="s">
        <v>53</v>
      </c>
      <c r="AF47" s="224" t="s">
        <v>53</v>
      </c>
      <c r="AG47" s="224" t="s">
        <v>53</v>
      </c>
      <c r="AH47" s="224" t="s">
        <v>53</v>
      </c>
      <c r="AI47" s="224" t="s">
        <v>65</v>
      </c>
      <c r="AJ47" s="224" t="s">
        <v>65</v>
      </c>
      <c r="AK47" s="224" t="s">
        <v>76</v>
      </c>
      <c r="AL47" s="224" t="s">
        <v>88</v>
      </c>
      <c r="AM47" s="224" t="s">
        <v>41</v>
      </c>
      <c r="AN47" s="225" t="s">
        <v>76</v>
      </c>
      <c r="AO47" s="6"/>
      <c r="AP47" s="6"/>
      <c r="AQ47" s="6"/>
      <c r="AR47" s="6"/>
    </row>
    <row r="48" spans="1:44" hidden="1" x14ac:dyDescent="0.25">
      <c r="A48"/>
      <c r="B48"/>
      <c r="E48"/>
      <c r="F48"/>
      <c r="G48"/>
      <c r="H48"/>
      <c r="I48"/>
      <c r="Q48"/>
      <c r="R48" s="207"/>
      <c r="S48" s="224" t="s">
        <v>42</v>
      </c>
      <c r="T48" s="224" t="s">
        <v>42</v>
      </c>
      <c r="U48" s="224" t="s">
        <v>42</v>
      </c>
      <c r="V48" s="224" t="s">
        <v>42</v>
      </c>
      <c r="W48" s="224" t="s">
        <v>42</v>
      </c>
      <c r="X48" s="224" t="s">
        <v>42</v>
      </c>
      <c r="Y48" s="224" t="s">
        <v>42</v>
      </c>
      <c r="Z48" s="224" t="s">
        <v>42</v>
      </c>
      <c r="AA48" s="224" t="s">
        <v>42</v>
      </c>
      <c r="AB48" s="224" t="s">
        <v>54</v>
      </c>
      <c r="AC48" s="224" t="s">
        <v>54</v>
      </c>
      <c r="AD48" s="224" t="s">
        <v>54</v>
      </c>
      <c r="AE48" s="224" t="s">
        <v>54</v>
      </c>
      <c r="AF48" s="224" t="s">
        <v>54</v>
      </c>
      <c r="AG48" s="224" t="s">
        <v>54</v>
      </c>
      <c r="AH48" s="224" t="s">
        <v>54</v>
      </c>
      <c r="AI48" s="224" t="s">
        <v>66</v>
      </c>
      <c r="AJ48" s="224" t="s">
        <v>66</v>
      </c>
      <c r="AK48" s="224" t="s">
        <v>77</v>
      </c>
      <c r="AL48" s="224" t="s">
        <v>89</v>
      </c>
      <c r="AM48" s="224" t="s">
        <v>42</v>
      </c>
      <c r="AN48" s="225" t="s">
        <v>77</v>
      </c>
      <c r="AO48" s="6"/>
      <c r="AP48" s="6"/>
      <c r="AQ48" s="6"/>
      <c r="AR48" s="6"/>
    </row>
    <row r="49" spans="1:44" hidden="1" x14ac:dyDescent="0.25">
      <c r="A49"/>
      <c r="B49"/>
      <c r="E49"/>
      <c r="F49"/>
      <c r="G49"/>
      <c r="H49"/>
      <c r="I49"/>
      <c r="Q49"/>
      <c r="R49" s="207"/>
      <c r="S49" s="224" t="s">
        <v>43</v>
      </c>
      <c r="T49" s="224" t="s">
        <v>43</v>
      </c>
      <c r="U49" s="224" t="s">
        <v>43</v>
      </c>
      <c r="V49" s="224" t="s">
        <v>43</v>
      </c>
      <c r="W49" s="224" t="s">
        <v>43</v>
      </c>
      <c r="X49" s="224" t="s">
        <v>43</v>
      </c>
      <c r="Y49" s="224" t="s">
        <v>43</v>
      </c>
      <c r="Z49" s="224" t="s">
        <v>43</v>
      </c>
      <c r="AA49" s="224" t="s">
        <v>43</v>
      </c>
      <c r="AB49" s="224" t="s">
        <v>55</v>
      </c>
      <c r="AC49" s="224" t="s">
        <v>55</v>
      </c>
      <c r="AD49" s="224" t="s">
        <v>55</v>
      </c>
      <c r="AE49" s="224" t="s">
        <v>55</v>
      </c>
      <c r="AF49" s="224" t="s">
        <v>55</v>
      </c>
      <c r="AG49" s="224" t="s">
        <v>55</v>
      </c>
      <c r="AH49" s="224" t="s">
        <v>55</v>
      </c>
      <c r="AI49" s="224" t="s">
        <v>67</v>
      </c>
      <c r="AJ49" s="224" t="s">
        <v>67</v>
      </c>
      <c r="AK49" s="224" t="s">
        <v>78</v>
      </c>
      <c r="AL49" s="224" t="s">
        <v>90</v>
      </c>
      <c r="AM49" s="224" t="s">
        <v>43</v>
      </c>
      <c r="AN49" s="225" t="s">
        <v>78</v>
      </c>
      <c r="AO49" s="6"/>
      <c r="AP49" s="6"/>
      <c r="AQ49" s="6"/>
      <c r="AR49" s="6"/>
    </row>
    <row r="50" spans="1:44" hidden="1" x14ac:dyDescent="0.25">
      <c r="A50"/>
      <c r="B50"/>
      <c r="E50"/>
      <c r="F50"/>
      <c r="G50"/>
      <c r="H50"/>
      <c r="I50"/>
      <c r="Q50"/>
      <c r="R50" s="207"/>
      <c r="S50" s="224" t="s">
        <v>44</v>
      </c>
      <c r="T50" s="224" t="s">
        <v>44</v>
      </c>
      <c r="U50" s="224" t="s">
        <v>44</v>
      </c>
      <c r="V50" s="224" t="s">
        <v>44</v>
      </c>
      <c r="W50" s="224" t="s">
        <v>44</v>
      </c>
      <c r="X50" s="224" t="s">
        <v>44</v>
      </c>
      <c r="Y50" s="224" t="s">
        <v>44</v>
      </c>
      <c r="Z50" s="224" t="s">
        <v>44</v>
      </c>
      <c r="AA50" s="224" t="s">
        <v>44</v>
      </c>
      <c r="AB50" s="224" t="s">
        <v>56</v>
      </c>
      <c r="AC50" s="224" t="s">
        <v>56</v>
      </c>
      <c r="AD50" s="224" t="s">
        <v>56</v>
      </c>
      <c r="AE50" s="224" t="s">
        <v>56</v>
      </c>
      <c r="AF50" s="224" t="s">
        <v>56</v>
      </c>
      <c r="AG50" s="224" t="s">
        <v>56</v>
      </c>
      <c r="AH50" s="224" t="s">
        <v>56</v>
      </c>
      <c r="AI50" s="224" t="s">
        <v>314</v>
      </c>
      <c r="AJ50" s="224" t="s">
        <v>314</v>
      </c>
      <c r="AK50" s="224" t="s">
        <v>79</v>
      </c>
      <c r="AL50" s="224" t="s">
        <v>91</v>
      </c>
      <c r="AM50" s="224" t="s">
        <v>44</v>
      </c>
      <c r="AN50" s="225" t="s">
        <v>79</v>
      </c>
      <c r="AO50" s="6"/>
      <c r="AP50" s="6"/>
      <c r="AQ50" s="6"/>
      <c r="AR50" s="6"/>
    </row>
    <row r="51" spans="1:44" hidden="1" x14ac:dyDescent="0.25">
      <c r="A51"/>
      <c r="B51"/>
      <c r="E51"/>
      <c r="F51"/>
      <c r="G51"/>
      <c r="H51"/>
      <c r="I51"/>
      <c r="Q51"/>
      <c r="R51" s="207"/>
      <c r="S51" s="180"/>
      <c r="T51" s="224" t="s">
        <v>316</v>
      </c>
      <c r="U51" s="224" t="s">
        <v>317</v>
      </c>
      <c r="V51" s="224" t="s">
        <v>318</v>
      </c>
      <c r="W51" s="224" t="s">
        <v>319</v>
      </c>
      <c r="X51" s="224" t="s">
        <v>316</v>
      </c>
      <c r="Y51" s="224" t="s">
        <v>316</v>
      </c>
      <c r="Z51" s="224" t="s">
        <v>317</v>
      </c>
      <c r="AA51" s="224" t="s">
        <v>317</v>
      </c>
      <c r="AB51" s="224"/>
      <c r="AC51" s="224" t="s">
        <v>317</v>
      </c>
      <c r="AD51" s="224" t="s">
        <v>318</v>
      </c>
      <c r="AE51" s="224" t="s">
        <v>319</v>
      </c>
      <c r="AF51" s="224" t="s">
        <v>317</v>
      </c>
      <c r="AG51" s="224" t="s">
        <v>317</v>
      </c>
      <c r="AH51" s="224" t="s">
        <v>318</v>
      </c>
      <c r="AI51" s="224" t="s">
        <v>319</v>
      </c>
      <c r="AJ51" s="224" t="s">
        <v>318</v>
      </c>
      <c r="AK51" s="224" t="s">
        <v>319</v>
      </c>
      <c r="AL51" s="180"/>
      <c r="AM51" s="224" t="s">
        <v>316</v>
      </c>
      <c r="AN51" s="181"/>
      <c r="AO51" s="6"/>
      <c r="AP51" s="6"/>
      <c r="AQ51" s="6"/>
      <c r="AR51" s="6"/>
    </row>
    <row r="52" spans="1:44" hidden="1" x14ac:dyDescent="0.25">
      <c r="N52" s="4"/>
      <c r="O52" s="4"/>
      <c r="Q52" s="4"/>
      <c r="R52" s="178"/>
      <c r="S52" s="180"/>
      <c r="T52" s="224" t="s">
        <v>45</v>
      </c>
      <c r="U52" s="224" t="s">
        <v>57</v>
      </c>
      <c r="V52" s="224" t="s">
        <v>68</v>
      </c>
      <c r="W52" s="224" t="s">
        <v>80</v>
      </c>
      <c r="X52" s="224" t="s">
        <v>45</v>
      </c>
      <c r="Y52" s="224" t="s">
        <v>45</v>
      </c>
      <c r="Z52" s="224" t="s">
        <v>57</v>
      </c>
      <c r="AA52" s="224" t="s">
        <v>57</v>
      </c>
      <c r="AB52" s="180"/>
      <c r="AC52" s="224" t="s">
        <v>57</v>
      </c>
      <c r="AD52" s="224" t="s">
        <v>68</v>
      </c>
      <c r="AE52" s="224" t="s">
        <v>80</v>
      </c>
      <c r="AF52" s="224" t="s">
        <v>57</v>
      </c>
      <c r="AG52" s="224" t="s">
        <v>57</v>
      </c>
      <c r="AH52" s="224" t="s">
        <v>68</v>
      </c>
      <c r="AI52" s="224" t="s">
        <v>80</v>
      </c>
      <c r="AJ52" s="224" t="s">
        <v>68</v>
      </c>
      <c r="AK52" s="224" t="s">
        <v>80</v>
      </c>
      <c r="AL52" s="180"/>
      <c r="AM52" s="224" t="s">
        <v>45</v>
      </c>
      <c r="AN52" s="181"/>
      <c r="AO52" s="6"/>
      <c r="AP52" s="6"/>
      <c r="AQ52" s="6"/>
      <c r="AR52" s="6"/>
    </row>
    <row r="53" spans="1:44" hidden="1" x14ac:dyDescent="0.25">
      <c r="N53" s="4"/>
      <c r="O53" s="4"/>
      <c r="Q53" s="4"/>
      <c r="R53" s="178"/>
      <c r="S53" s="180"/>
      <c r="T53" s="224" t="s">
        <v>46</v>
      </c>
      <c r="U53" s="224" t="s">
        <v>58</v>
      </c>
      <c r="V53" s="224" t="s">
        <v>69</v>
      </c>
      <c r="W53" s="224" t="s">
        <v>81</v>
      </c>
      <c r="X53" s="224" t="s">
        <v>46</v>
      </c>
      <c r="Y53" s="224" t="s">
        <v>46</v>
      </c>
      <c r="Z53" s="224" t="s">
        <v>58</v>
      </c>
      <c r="AA53" s="224" t="s">
        <v>58</v>
      </c>
      <c r="AB53" s="180"/>
      <c r="AC53" s="224" t="s">
        <v>58</v>
      </c>
      <c r="AD53" s="224" t="s">
        <v>69</v>
      </c>
      <c r="AE53" s="224" t="s">
        <v>81</v>
      </c>
      <c r="AF53" s="224" t="s">
        <v>58</v>
      </c>
      <c r="AG53" s="224" t="s">
        <v>58</v>
      </c>
      <c r="AH53" s="224" t="s">
        <v>69</v>
      </c>
      <c r="AI53" s="224" t="s">
        <v>81</v>
      </c>
      <c r="AJ53" s="224" t="s">
        <v>69</v>
      </c>
      <c r="AK53" s="224" t="s">
        <v>81</v>
      </c>
      <c r="AL53" s="180"/>
      <c r="AM53" s="224" t="s">
        <v>46</v>
      </c>
      <c r="AN53" s="181"/>
      <c r="AO53" s="6"/>
      <c r="AP53" s="6"/>
      <c r="AQ53" s="6"/>
      <c r="AR53" s="6"/>
    </row>
    <row r="54" spans="1:44" hidden="1" x14ac:dyDescent="0.25">
      <c r="N54" s="4"/>
      <c r="O54" s="4"/>
      <c r="Q54" s="4"/>
      <c r="R54" s="178"/>
      <c r="S54" s="180"/>
      <c r="T54" s="224" t="s">
        <v>47</v>
      </c>
      <c r="U54" s="224" t="s">
        <v>59</v>
      </c>
      <c r="V54" s="224" t="s">
        <v>70</v>
      </c>
      <c r="W54" s="224" t="s">
        <v>82</v>
      </c>
      <c r="X54" s="224" t="s">
        <v>47</v>
      </c>
      <c r="Y54" s="224" t="s">
        <v>47</v>
      </c>
      <c r="Z54" s="224" t="s">
        <v>59</v>
      </c>
      <c r="AA54" s="224" t="s">
        <v>59</v>
      </c>
      <c r="AB54" s="180"/>
      <c r="AC54" s="224" t="s">
        <v>59</v>
      </c>
      <c r="AD54" s="224" t="s">
        <v>70</v>
      </c>
      <c r="AE54" s="224" t="s">
        <v>82</v>
      </c>
      <c r="AF54" s="224" t="s">
        <v>59</v>
      </c>
      <c r="AG54" s="224" t="s">
        <v>59</v>
      </c>
      <c r="AH54" s="224" t="s">
        <v>70</v>
      </c>
      <c r="AI54" s="224" t="s">
        <v>82</v>
      </c>
      <c r="AJ54" s="224" t="s">
        <v>70</v>
      </c>
      <c r="AK54" s="224" t="s">
        <v>82</v>
      </c>
      <c r="AL54" s="180"/>
      <c r="AM54" s="224" t="s">
        <v>47</v>
      </c>
      <c r="AN54" s="181"/>
      <c r="AO54" s="6"/>
      <c r="AP54" s="6"/>
      <c r="AQ54" s="6"/>
      <c r="AR54" s="6"/>
    </row>
    <row r="55" spans="1:44" hidden="1" x14ac:dyDescent="0.25">
      <c r="N55" s="4"/>
      <c r="O55" s="4"/>
      <c r="Q55" s="4"/>
      <c r="R55" s="178"/>
      <c r="S55" s="180"/>
      <c r="T55" s="224" t="s">
        <v>48</v>
      </c>
      <c r="U55" s="224" t="s">
        <v>60</v>
      </c>
      <c r="V55" s="224" t="s">
        <v>71</v>
      </c>
      <c r="W55" s="224" t="s">
        <v>83</v>
      </c>
      <c r="X55" s="224" t="s">
        <v>48</v>
      </c>
      <c r="Y55" s="224" t="s">
        <v>48</v>
      </c>
      <c r="Z55" s="224" t="s">
        <v>60</v>
      </c>
      <c r="AA55" s="224" t="s">
        <v>60</v>
      </c>
      <c r="AB55" s="180"/>
      <c r="AC55" s="224" t="s">
        <v>60</v>
      </c>
      <c r="AD55" s="224" t="s">
        <v>71</v>
      </c>
      <c r="AE55" s="224" t="s">
        <v>83</v>
      </c>
      <c r="AF55" s="224" t="s">
        <v>60</v>
      </c>
      <c r="AG55" s="224" t="s">
        <v>60</v>
      </c>
      <c r="AH55" s="224" t="s">
        <v>71</v>
      </c>
      <c r="AI55" s="224" t="s">
        <v>83</v>
      </c>
      <c r="AJ55" s="224" t="s">
        <v>71</v>
      </c>
      <c r="AK55" s="224" t="s">
        <v>83</v>
      </c>
      <c r="AL55" s="180"/>
      <c r="AM55" s="224" t="s">
        <v>48</v>
      </c>
      <c r="AN55" s="181"/>
      <c r="AO55" s="6"/>
      <c r="AP55" s="6"/>
      <c r="AQ55" s="6"/>
      <c r="AR55" s="6"/>
    </row>
    <row r="56" spans="1:44" hidden="1" x14ac:dyDescent="0.25">
      <c r="N56" s="4"/>
      <c r="O56" s="4"/>
      <c r="Q56" s="4"/>
      <c r="R56" s="178"/>
      <c r="S56" s="180"/>
      <c r="T56" s="224" t="s">
        <v>49</v>
      </c>
      <c r="U56" s="224" t="s">
        <v>61</v>
      </c>
      <c r="V56" s="224" t="s">
        <v>72</v>
      </c>
      <c r="W56" s="224" t="s">
        <v>84</v>
      </c>
      <c r="X56" s="224" t="s">
        <v>49</v>
      </c>
      <c r="Y56" s="224" t="s">
        <v>49</v>
      </c>
      <c r="Z56" s="224" t="s">
        <v>61</v>
      </c>
      <c r="AA56" s="224" t="s">
        <v>61</v>
      </c>
      <c r="AB56" s="180"/>
      <c r="AC56" s="224" t="s">
        <v>61</v>
      </c>
      <c r="AD56" s="224" t="s">
        <v>72</v>
      </c>
      <c r="AE56" s="224" t="s">
        <v>84</v>
      </c>
      <c r="AF56" s="224" t="s">
        <v>61</v>
      </c>
      <c r="AG56" s="224" t="s">
        <v>61</v>
      </c>
      <c r="AH56" s="224" t="s">
        <v>72</v>
      </c>
      <c r="AI56" s="224" t="s">
        <v>84</v>
      </c>
      <c r="AJ56" s="224" t="s">
        <v>72</v>
      </c>
      <c r="AK56" s="224" t="s">
        <v>84</v>
      </c>
      <c r="AL56" s="180"/>
      <c r="AM56" s="224" t="s">
        <v>49</v>
      </c>
      <c r="AN56" s="181"/>
      <c r="AO56" s="6"/>
      <c r="AP56" s="6"/>
      <c r="AQ56" s="6"/>
      <c r="AR56" s="6"/>
    </row>
    <row r="57" spans="1:44" hidden="1" x14ac:dyDescent="0.25">
      <c r="L57" s="4"/>
      <c r="N57" s="4"/>
      <c r="O57" s="4"/>
      <c r="Q57" s="4"/>
      <c r="R57" s="178"/>
      <c r="S57" s="180"/>
      <c r="T57" s="224" t="s">
        <v>50</v>
      </c>
      <c r="U57" s="224" t="s">
        <v>62</v>
      </c>
      <c r="V57" s="224" t="s">
        <v>73</v>
      </c>
      <c r="W57" s="224" t="s">
        <v>85</v>
      </c>
      <c r="X57" s="224" t="s">
        <v>50</v>
      </c>
      <c r="Y57" s="224" t="s">
        <v>50</v>
      </c>
      <c r="Z57" s="224" t="s">
        <v>62</v>
      </c>
      <c r="AA57" s="224" t="s">
        <v>62</v>
      </c>
      <c r="AB57" s="180"/>
      <c r="AC57" s="224" t="s">
        <v>62</v>
      </c>
      <c r="AD57" s="224" t="s">
        <v>73</v>
      </c>
      <c r="AE57" s="224" t="s">
        <v>85</v>
      </c>
      <c r="AF57" s="224" t="s">
        <v>62</v>
      </c>
      <c r="AG57" s="224" t="s">
        <v>62</v>
      </c>
      <c r="AH57" s="224" t="s">
        <v>73</v>
      </c>
      <c r="AI57" s="224" t="s">
        <v>85</v>
      </c>
      <c r="AJ57" s="224" t="s">
        <v>73</v>
      </c>
      <c r="AK57" s="224" t="s">
        <v>85</v>
      </c>
      <c r="AL57" s="180"/>
      <c r="AM57" s="224" t="s">
        <v>50</v>
      </c>
      <c r="AN57" s="181"/>
      <c r="AO57" s="6"/>
      <c r="AP57" s="6"/>
      <c r="AQ57" s="6"/>
      <c r="AR57" s="6"/>
    </row>
    <row r="58" spans="1:44" hidden="1" x14ac:dyDescent="0.25">
      <c r="L58" s="4"/>
      <c r="N58" s="4"/>
      <c r="O58" s="4"/>
      <c r="Q58" s="4"/>
      <c r="R58" s="178"/>
      <c r="S58" s="180"/>
      <c r="T58" s="224" t="s">
        <v>51</v>
      </c>
      <c r="U58" s="224" t="s">
        <v>63</v>
      </c>
      <c r="V58" s="224" t="s">
        <v>74</v>
      </c>
      <c r="W58" s="224" t="s">
        <v>86</v>
      </c>
      <c r="X58" s="224" t="s">
        <v>51</v>
      </c>
      <c r="Y58" s="224" t="s">
        <v>51</v>
      </c>
      <c r="Z58" s="224" t="s">
        <v>63</v>
      </c>
      <c r="AA58" s="224" t="s">
        <v>63</v>
      </c>
      <c r="AB58" s="180"/>
      <c r="AC58" s="224" t="s">
        <v>63</v>
      </c>
      <c r="AD58" s="224" t="s">
        <v>74</v>
      </c>
      <c r="AE58" s="224" t="s">
        <v>86</v>
      </c>
      <c r="AF58" s="224" t="s">
        <v>63</v>
      </c>
      <c r="AG58" s="224" t="s">
        <v>63</v>
      </c>
      <c r="AH58" s="224" t="s">
        <v>74</v>
      </c>
      <c r="AI58" s="224" t="s">
        <v>86</v>
      </c>
      <c r="AJ58" s="224" t="s">
        <v>74</v>
      </c>
      <c r="AK58" s="224" t="s">
        <v>86</v>
      </c>
      <c r="AL58" s="180"/>
      <c r="AM58" s="224" t="s">
        <v>51</v>
      </c>
      <c r="AN58" s="181"/>
      <c r="AO58" s="6"/>
      <c r="AP58" s="6"/>
      <c r="AQ58" s="6"/>
      <c r="AR58" s="6"/>
    </row>
    <row r="59" spans="1:44" hidden="1" x14ac:dyDescent="0.25">
      <c r="L59" s="4"/>
      <c r="N59" s="4"/>
      <c r="O59" s="4"/>
      <c r="Q59" s="4"/>
      <c r="R59" s="178"/>
      <c r="S59" s="180"/>
      <c r="T59" s="224" t="s">
        <v>52</v>
      </c>
      <c r="U59" s="224" t="s">
        <v>635</v>
      </c>
      <c r="V59" s="224" t="s">
        <v>75</v>
      </c>
      <c r="W59" s="224" t="s">
        <v>87</v>
      </c>
      <c r="X59" s="224" t="s">
        <v>52</v>
      </c>
      <c r="Y59" s="224" t="s">
        <v>52</v>
      </c>
      <c r="Z59" s="224" t="s">
        <v>635</v>
      </c>
      <c r="AA59" s="224" t="s">
        <v>635</v>
      </c>
      <c r="AB59" s="180"/>
      <c r="AC59" s="224" t="s">
        <v>635</v>
      </c>
      <c r="AD59" s="224" t="s">
        <v>75</v>
      </c>
      <c r="AE59" s="224" t="s">
        <v>87</v>
      </c>
      <c r="AF59" s="224" t="s">
        <v>635</v>
      </c>
      <c r="AG59" s="224" t="s">
        <v>635</v>
      </c>
      <c r="AH59" s="224" t="s">
        <v>75</v>
      </c>
      <c r="AI59" s="224" t="s">
        <v>87</v>
      </c>
      <c r="AJ59" s="224" t="s">
        <v>75</v>
      </c>
      <c r="AK59" s="224" t="s">
        <v>87</v>
      </c>
      <c r="AL59" s="180"/>
      <c r="AM59" s="224" t="s">
        <v>52</v>
      </c>
      <c r="AN59" s="181"/>
      <c r="AO59" s="6"/>
      <c r="AP59" s="6"/>
      <c r="AQ59" s="6"/>
      <c r="AR59" s="6"/>
    </row>
    <row r="60" spans="1:44" hidden="1" x14ac:dyDescent="0.25">
      <c r="L60" s="4"/>
      <c r="O60" s="1"/>
      <c r="Q60"/>
      <c r="R60" s="178"/>
      <c r="S60" s="180"/>
      <c r="T60" s="224" t="s">
        <v>53</v>
      </c>
      <c r="U60" s="224" t="s">
        <v>65</v>
      </c>
      <c r="V60" s="224" t="s">
        <v>76</v>
      </c>
      <c r="W60" s="224" t="s">
        <v>88</v>
      </c>
      <c r="X60" s="224" t="s">
        <v>53</v>
      </c>
      <c r="Y60" s="224" t="s">
        <v>53</v>
      </c>
      <c r="Z60" s="224" t="s">
        <v>65</v>
      </c>
      <c r="AA60" s="224" t="s">
        <v>65</v>
      </c>
      <c r="AB60" s="180"/>
      <c r="AC60" s="224" t="s">
        <v>65</v>
      </c>
      <c r="AD60" s="224" t="s">
        <v>76</v>
      </c>
      <c r="AE60" s="224" t="s">
        <v>88</v>
      </c>
      <c r="AF60" s="224" t="s">
        <v>65</v>
      </c>
      <c r="AG60" s="224" t="s">
        <v>65</v>
      </c>
      <c r="AH60" s="224" t="s">
        <v>76</v>
      </c>
      <c r="AI60" s="224" t="s">
        <v>88</v>
      </c>
      <c r="AJ60" s="224" t="s">
        <v>76</v>
      </c>
      <c r="AK60" s="224" t="s">
        <v>88</v>
      </c>
      <c r="AL60" s="180"/>
      <c r="AM60" s="224" t="s">
        <v>53</v>
      </c>
      <c r="AN60" s="181"/>
      <c r="AO60" s="6"/>
      <c r="AP60" s="6"/>
      <c r="AQ60" s="6"/>
      <c r="AR60" s="6"/>
    </row>
    <row r="61" spans="1:44" hidden="1" x14ac:dyDescent="0.25">
      <c r="L61" s="4"/>
      <c r="O61" s="1"/>
      <c r="Q61"/>
      <c r="R61" s="178"/>
      <c r="S61" s="180"/>
      <c r="T61" s="224" t="s">
        <v>54</v>
      </c>
      <c r="U61" s="224" t="s">
        <v>66</v>
      </c>
      <c r="V61" s="224" t="s">
        <v>77</v>
      </c>
      <c r="W61" s="224" t="s">
        <v>89</v>
      </c>
      <c r="X61" s="224" t="s">
        <v>54</v>
      </c>
      <c r="Y61" s="224" t="s">
        <v>54</v>
      </c>
      <c r="Z61" s="224" t="s">
        <v>66</v>
      </c>
      <c r="AA61" s="224" t="s">
        <v>66</v>
      </c>
      <c r="AB61" s="180"/>
      <c r="AC61" s="224" t="s">
        <v>66</v>
      </c>
      <c r="AD61" s="224" t="s">
        <v>77</v>
      </c>
      <c r="AE61" s="224" t="s">
        <v>89</v>
      </c>
      <c r="AF61" s="224" t="s">
        <v>66</v>
      </c>
      <c r="AG61" s="224" t="s">
        <v>66</v>
      </c>
      <c r="AH61" s="224" t="s">
        <v>77</v>
      </c>
      <c r="AI61" s="224" t="s">
        <v>89</v>
      </c>
      <c r="AJ61" s="224" t="s">
        <v>77</v>
      </c>
      <c r="AK61" s="224" t="s">
        <v>89</v>
      </c>
      <c r="AL61" s="180"/>
      <c r="AM61" s="224" t="s">
        <v>54</v>
      </c>
      <c r="AN61" s="181"/>
      <c r="AO61" s="6"/>
      <c r="AP61" s="6"/>
      <c r="AQ61" s="6"/>
      <c r="AR61" s="6"/>
    </row>
    <row r="62" spans="1:44" hidden="1" x14ac:dyDescent="0.25">
      <c r="L62" s="4"/>
      <c r="N62" s="1"/>
      <c r="Q62"/>
      <c r="R62" s="178"/>
      <c r="S62" s="180"/>
      <c r="T62" s="224" t="s">
        <v>55</v>
      </c>
      <c r="U62" s="224" t="s">
        <v>67</v>
      </c>
      <c r="V62" s="224" t="s">
        <v>78</v>
      </c>
      <c r="W62" s="224" t="s">
        <v>90</v>
      </c>
      <c r="X62" s="224" t="s">
        <v>55</v>
      </c>
      <c r="Y62" s="224" t="s">
        <v>55</v>
      </c>
      <c r="Z62" s="224" t="s">
        <v>67</v>
      </c>
      <c r="AA62" s="224" t="s">
        <v>67</v>
      </c>
      <c r="AB62" s="180"/>
      <c r="AC62" s="224" t="s">
        <v>67</v>
      </c>
      <c r="AD62" s="224" t="s">
        <v>78</v>
      </c>
      <c r="AE62" s="224" t="s">
        <v>90</v>
      </c>
      <c r="AF62" s="224" t="s">
        <v>67</v>
      </c>
      <c r="AG62" s="224" t="s">
        <v>67</v>
      </c>
      <c r="AH62" s="224" t="s">
        <v>78</v>
      </c>
      <c r="AI62" s="224" t="s">
        <v>90</v>
      </c>
      <c r="AJ62" s="224" t="s">
        <v>78</v>
      </c>
      <c r="AK62" s="224" t="s">
        <v>90</v>
      </c>
      <c r="AL62" s="180"/>
      <c r="AM62" s="224" t="s">
        <v>55</v>
      </c>
      <c r="AN62" s="181"/>
      <c r="AO62" s="6"/>
      <c r="AP62" s="6"/>
      <c r="AQ62" s="6"/>
      <c r="AR62" s="6"/>
    </row>
    <row r="63" spans="1:44" hidden="1" x14ac:dyDescent="0.25">
      <c r="L63" s="4"/>
      <c r="N63" s="1"/>
      <c r="Q63"/>
      <c r="R63" s="178"/>
      <c r="S63" s="180"/>
      <c r="T63" s="224" t="s">
        <v>56</v>
      </c>
      <c r="U63" s="224" t="s">
        <v>314</v>
      </c>
      <c r="V63" s="224" t="s">
        <v>79</v>
      </c>
      <c r="W63" s="224" t="s">
        <v>91</v>
      </c>
      <c r="X63" s="224" t="s">
        <v>56</v>
      </c>
      <c r="Y63" s="224" t="s">
        <v>56</v>
      </c>
      <c r="Z63" s="224" t="s">
        <v>314</v>
      </c>
      <c r="AA63" s="224" t="s">
        <v>314</v>
      </c>
      <c r="AB63" s="180"/>
      <c r="AC63" s="224" t="s">
        <v>314</v>
      </c>
      <c r="AD63" s="224" t="s">
        <v>79</v>
      </c>
      <c r="AE63" s="224" t="s">
        <v>91</v>
      </c>
      <c r="AF63" s="224" t="s">
        <v>314</v>
      </c>
      <c r="AG63" s="224" t="s">
        <v>314</v>
      </c>
      <c r="AH63" s="224" t="s">
        <v>79</v>
      </c>
      <c r="AI63" s="224" t="s">
        <v>91</v>
      </c>
      <c r="AJ63" s="224" t="s">
        <v>79</v>
      </c>
      <c r="AK63" s="224" t="s">
        <v>91</v>
      </c>
      <c r="AL63" s="180"/>
      <c r="AM63" s="224" t="s">
        <v>56</v>
      </c>
      <c r="AN63" s="181"/>
      <c r="AO63" s="6"/>
      <c r="AP63" s="6"/>
      <c r="AQ63" s="6"/>
      <c r="AR63" s="6"/>
    </row>
    <row r="64" spans="1:44" hidden="1" x14ac:dyDescent="0.25">
      <c r="L64" s="4"/>
      <c r="M64" s="6"/>
      <c r="N64" s="6"/>
      <c r="Q64"/>
      <c r="R64" s="178"/>
      <c r="S64" s="180"/>
      <c r="T64" s="224"/>
      <c r="U64" s="224"/>
      <c r="V64" s="224"/>
      <c r="W64" s="224"/>
      <c r="X64" s="224" t="s">
        <v>317</v>
      </c>
      <c r="Y64" s="224" t="s">
        <v>318</v>
      </c>
      <c r="Z64" s="224" t="s">
        <v>318</v>
      </c>
      <c r="AA64" s="224" t="s">
        <v>319</v>
      </c>
      <c r="AB64" s="180"/>
      <c r="AC64" s="224"/>
      <c r="AD64" s="224"/>
      <c r="AE64" s="224"/>
      <c r="AF64" s="224" t="s">
        <v>318</v>
      </c>
      <c r="AG64" s="224" t="s">
        <v>319</v>
      </c>
      <c r="AH64" s="224" t="s">
        <v>319</v>
      </c>
      <c r="AI64" s="180"/>
      <c r="AJ64" s="224" t="s">
        <v>319</v>
      </c>
      <c r="AK64" s="180"/>
      <c r="AL64" s="180"/>
      <c r="AM64" s="224" t="s">
        <v>319</v>
      </c>
      <c r="AN64" s="181"/>
      <c r="AO64" s="6"/>
      <c r="AP64" s="6"/>
      <c r="AQ64" s="6"/>
      <c r="AR64" s="6"/>
    </row>
    <row r="65" spans="12:44" hidden="1" x14ac:dyDescent="0.25">
      <c r="L65" s="4"/>
      <c r="Q65"/>
      <c r="R65" s="178"/>
      <c r="S65" s="180"/>
      <c r="T65" s="180"/>
      <c r="U65" s="180"/>
      <c r="V65" s="180"/>
      <c r="W65" s="180"/>
      <c r="X65" s="224" t="s">
        <v>57</v>
      </c>
      <c r="Y65" s="224" t="s">
        <v>68</v>
      </c>
      <c r="Z65" s="224" t="s">
        <v>68</v>
      </c>
      <c r="AA65" s="224" t="s">
        <v>80</v>
      </c>
      <c r="AB65" s="180"/>
      <c r="AC65" s="180"/>
      <c r="AD65" s="180"/>
      <c r="AE65" s="180"/>
      <c r="AF65" s="224" t="s">
        <v>68</v>
      </c>
      <c r="AG65" s="224" t="s">
        <v>80</v>
      </c>
      <c r="AH65" s="224" t="s">
        <v>80</v>
      </c>
      <c r="AI65" s="180"/>
      <c r="AJ65" s="224" t="s">
        <v>80</v>
      </c>
      <c r="AK65" s="180"/>
      <c r="AL65" s="180"/>
      <c r="AM65" s="224" t="s">
        <v>80</v>
      </c>
      <c r="AN65" s="181"/>
      <c r="AO65" s="6"/>
      <c r="AP65" s="6"/>
      <c r="AQ65" s="6"/>
      <c r="AR65" s="6"/>
    </row>
    <row r="66" spans="12:44" hidden="1" x14ac:dyDescent="0.25">
      <c r="L66" s="4"/>
      <c r="R66" s="178"/>
      <c r="S66" s="180"/>
      <c r="T66" s="180"/>
      <c r="U66" s="180"/>
      <c r="V66" s="180"/>
      <c r="W66" s="180"/>
      <c r="X66" s="224" t="s">
        <v>58</v>
      </c>
      <c r="Y66" s="224" t="s">
        <v>69</v>
      </c>
      <c r="Z66" s="224" t="s">
        <v>69</v>
      </c>
      <c r="AA66" s="224" t="s">
        <v>81</v>
      </c>
      <c r="AB66" s="180"/>
      <c r="AC66" s="180"/>
      <c r="AD66" s="180"/>
      <c r="AE66" s="180"/>
      <c r="AF66" s="224" t="s">
        <v>69</v>
      </c>
      <c r="AG66" s="224" t="s">
        <v>81</v>
      </c>
      <c r="AH66" s="224" t="s">
        <v>81</v>
      </c>
      <c r="AI66" s="180"/>
      <c r="AJ66" s="224" t="s">
        <v>81</v>
      </c>
      <c r="AK66" s="180"/>
      <c r="AL66" s="180"/>
      <c r="AM66" s="224" t="s">
        <v>81</v>
      </c>
      <c r="AN66" s="181"/>
      <c r="AO66" s="6"/>
      <c r="AP66" s="6"/>
      <c r="AQ66" s="6"/>
      <c r="AR66" s="6"/>
    </row>
    <row r="67" spans="12:44" hidden="1" x14ac:dyDescent="0.25">
      <c r="R67" s="178"/>
      <c r="S67" s="180"/>
      <c r="T67" s="180"/>
      <c r="U67" s="180"/>
      <c r="V67" s="180"/>
      <c r="W67" s="180"/>
      <c r="X67" s="224" t="s">
        <v>59</v>
      </c>
      <c r="Y67" s="224" t="s">
        <v>70</v>
      </c>
      <c r="Z67" s="224" t="s">
        <v>70</v>
      </c>
      <c r="AA67" s="224" t="s">
        <v>82</v>
      </c>
      <c r="AB67" s="180"/>
      <c r="AC67" s="180"/>
      <c r="AD67" s="180"/>
      <c r="AE67" s="180"/>
      <c r="AF67" s="224" t="s">
        <v>70</v>
      </c>
      <c r="AG67" s="224" t="s">
        <v>82</v>
      </c>
      <c r="AH67" s="224" t="s">
        <v>82</v>
      </c>
      <c r="AI67" s="180"/>
      <c r="AJ67" s="224" t="s">
        <v>82</v>
      </c>
      <c r="AK67" s="180"/>
      <c r="AL67" s="180"/>
      <c r="AM67" s="224" t="s">
        <v>82</v>
      </c>
      <c r="AN67" s="181"/>
      <c r="AO67" s="6"/>
      <c r="AP67" s="6"/>
      <c r="AQ67" s="6"/>
      <c r="AR67" s="6"/>
    </row>
    <row r="68" spans="12:44" hidden="1" x14ac:dyDescent="0.25">
      <c r="R68" s="178"/>
      <c r="S68" s="180"/>
      <c r="T68" s="180"/>
      <c r="U68" s="180"/>
      <c r="V68" s="180"/>
      <c r="W68" s="180"/>
      <c r="X68" s="224" t="s">
        <v>60</v>
      </c>
      <c r="Y68" s="224" t="s">
        <v>71</v>
      </c>
      <c r="Z68" s="224" t="s">
        <v>71</v>
      </c>
      <c r="AA68" s="224" t="s">
        <v>83</v>
      </c>
      <c r="AB68" s="180"/>
      <c r="AC68" s="180"/>
      <c r="AD68" s="180"/>
      <c r="AE68" s="180"/>
      <c r="AF68" s="224" t="s">
        <v>71</v>
      </c>
      <c r="AG68" s="224" t="s">
        <v>83</v>
      </c>
      <c r="AH68" s="224" t="s">
        <v>83</v>
      </c>
      <c r="AI68" s="180"/>
      <c r="AJ68" s="224" t="s">
        <v>83</v>
      </c>
      <c r="AK68" s="180"/>
      <c r="AL68" s="180"/>
      <c r="AM68" s="224" t="s">
        <v>83</v>
      </c>
      <c r="AN68" s="181"/>
      <c r="AO68" s="6"/>
      <c r="AP68" s="6"/>
      <c r="AQ68" s="6"/>
      <c r="AR68" s="6"/>
    </row>
    <row r="69" spans="12:44" ht="15" hidden="1" customHeight="1" x14ac:dyDescent="0.25">
      <c r="R69" s="178"/>
      <c r="S69" s="180"/>
      <c r="T69" s="180"/>
      <c r="U69" s="180"/>
      <c r="V69" s="180"/>
      <c r="W69" s="180"/>
      <c r="X69" s="224" t="s">
        <v>61</v>
      </c>
      <c r="Y69" s="224" t="s">
        <v>72</v>
      </c>
      <c r="Z69" s="224" t="s">
        <v>72</v>
      </c>
      <c r="AA69" s="224" t="s">
        <v>84</v>
      </c>
      <c r="AB69" s="180"/>
      <c r="AC69" s="180"/>
      <c r="AD69" s="180"/>
      <c r="AE69" s="180"/>
      <c r="AF69" s="224" t="s">
        <v>72</v>
      </c>
      <c r="AG69" s="224" t="s">
        <v>84</v>
      </c>
      <c r="AH69" s="224" t="s">
        <v>84</v>
      </c>
      <c r="AI69" s="180"/>
      <c r="AJ69" s="224" t="s">
        <v>84</v>
      </c>
      <c r="AK69" s="180"/>
      <c r="AL69" s="180"/>
      <c r="AM69" s="224" t="s">
        <v>84</v>
      </c>
      <c r="AN69" s="181"/>
      <c r="AO69" s="6"/>
      <c r="AP69" s="6"/>
      <c r="AQ69" s="6"/>
      <c r="AR69" s="6"/>
    </row>
    <row r="70" spans="12:44" hidden="1" x14ac:dyDescent="0.25">
      <c r="R70" s="178"/>
      <c r="S70" s="180"/>
      <c r="T70" s="180"/>
      <c r="U70" s="180"/>
      <c r="V70" s="180"/>
      <c r="W70" s="180"/>
      <c r="X70" s="224" t="s">
        <v>62</v>
      </c>
      <c r="Y70" s="224" t="s">
        <v>73</v>
      </c>
      <c r="Z70" s="224" t="s">
        <v>73</v>
      </c>
      <c r="AA70" s="224" t="s">
        <v>85</v>
      </c>
      <c r="AB70" s="180"/>
      <c r="AC70" s="180"/>
      <c r="AD70" s="180"/>
      <c r="AE70" s="180"/>
      <c r="AF70" s="224" t="s">
        <v>73</v>
      </c>
      <c r="AG70" s="224" t="s">
        <v>85</v>
      </c>
      <c r="AH70" s="224" t="s">
        <v>85</v>
      </c>
      <c r="AI70" s="180"/>
      <c r="AJ70" s="224" t="s">
        <v>85</v>
      </c>
      <c r="AK70" s="180"/>
      <c r="AL70" s="180"/>
      <c r="AM70" s="224" t="s">
        <v>85</v>
      </c>
      <c r="AN70" s="181"/>
      <c r="AO70" s="6"/>
      <c r="AP70" s="6"/>
      <c r="AQ70" s="6"/>
      <c r="AR70" s="6"/>
    </row>
    <row r="71" spans="12:44" hidden="1" x14ac:dyDescent="0.25">
      <c r="R71" s="178"/>
      <c r="S71" s="180"/>
      <c r="T71" s="180"/>
      <c r="U71" s="180"/>
      <c r="V71" s="180"/>
      <c r="W71" s="180"/>
      <c r="X71" s="224" t="s">
        <v>63</v>
      </c>
      <c r="Y71" s="224" t="s">
        <v>74</v>
      </c>
      <c r="Z71" s="224" t="s">
        <v>74</v>
      </c>
      <c r="AA71" s="224" t="s">
        <v>86</v>
      </c>
      <c r="AB71" s="180"/>
      <c r="AC71" s="180"/>
      <c r="AD71" s="180"/>
      <c r="AE71" s="180"/>
      <c r="AF71" s="224" t="s">
        <v>74</v>
      </c>
      <c r="AG71" s="224" t="s">
        <v>86</v>
      </c>
      <c r="AH71" s="224" t="s">
        <v>86</v>
      </c>
      <c r="AI71" s="180"/>
      <c r="AJ71" s="224" t="s">
        <v>86</v>
      </c>
      <c r="AK71" s="180"/>
      <c r="AL71" s="180"/>
      <c r="AM71" s="224" t="s">
        <v>86</v>
      </c>
      <c r="AN71" s="181"/>
      <c r="AO71" s="6"/>
      <c r="AP71" s="6"/>
      <c r="AQ71" s="6"/>
      <c r="AR71" s="6"/>
    </row>
    <row r="72" spans="12:44" hidden="1" x14ac:dyDescent="0.25">
      <c r="R72" s="178"/>
      <c r="S72" s="180"/>
      <c r="T72" s="180"/>
      <c r="U72" s="180"/>
      <c r="V72" s="180"/>
      <c r="W72" s="180"/>
      <c r="X72" s="224" t="s">
        <v>635</v>
      </c>
      <c r="Y72" s="224" t="s">
        <v>75</v>
      </c>
      <c r="Z72" s="224" t="s">
        <v>75</v>
      </c>
      <c r="AA72" s="224" t="s">
        <v>87</v>
      </c>
      <c r="AB72" s="180"/>
      <c r="AC72" s="180"/>
      <c r="AD72" s="180"/>
      <c r="AE72" s="180"/>
      <c r="AF72" s="224" t="s">
        <v>75</v>
      </c>
      <c r="AG72" s="224" t="s">
        <v>87</v>
      </c>
      <c r="AH72" s="224" t="s">
        <v>87</v>
      </c>
      <c r="AI72" s="180"/>
      <c r="AJ72" s="224" t="s">
        <v>87</v>
      </c>
      <c r="AK72" s="180"/>
      <c r="AL72" s="180"/>
      <c r="AM72" s="224" t="s">
        <v>87</v>
      </c>
      <c r="AN72" s="181"/>
      <c r="AO72" s="6"/>
      <c r="AP72" s="6"/>
      <c r="AQ72" s="6"/>
      <c r="AR72" s="6"/>
    </row>
    <row r="73" spans="12:44" hidden="1" x14ac:dyDescent="0.25">
      <c r="R73" s="178"/>
      <c r="S73" s="180"/>
      <c r="T73" s="180"/>
      <c r="U73" s="180"/>
      <c r="V73" s="180"/>
      <c r="W73" s="180"/>
      <c r="X73" s="224" t="s">
        <v>65</v>
      </c>
      <c r="Y73" s="224" t="s">
        <v>76</v>
      </c>
      <c r="Z73" s="224" t="s">
        <v>76</v>
      </c>
      <c r="AA73" s="224" t="s">
        <v>88</v>
      </c>
      <c r="AB73" s="180"/>
      <c r="AC73" s="180"/>
      <c r="AD73" s="180"/>
      <c r="AE73" s="180"/>
      <c r="AF73" s="224" t="s">
        <v>76</v>
      </c>
      <c r="AG73" s="224" t="s">
        <v>88</v>
      </c>
      <c r="AH73" s="224" t="s">
        <v>88</v>
      </c>
      <c r="AI73" s="180"/>
      <c r="AJ73" s="224" t="s">
        <v>88</v>
      </c>
      <c r="AK73" s="180"/>
      <c r="AL73" s="180"/>
      <c r="AM73" s="224" t="s">
        <v>88</v>
      </c>
      <c r="AN73" s="181"/>
      <c r="AO73" s="6"/>
      <c r="AP73" s="6"/>
      <c r="AQ73" s="6"/>
      <c r="AR73" s="6"/>
    </row>
    <row r="74" spans="12:44" hidden="1" x14ac:dyDescent="0.25">
      <c r="R74" s="178"/>
      <c r="S74" s="180"/>
      <c r="T74" s="180"/>
      <c r="U74" s="180"/>
      <c r="V74" s="180"/>
      <c r="W74" s="180"/>
      <c r="X74" s="224" t="s">
        <v>66</v>
      </c>
      <c r="Y74" s="224" t="s">
        <v>77</v>
      </c>
      <c r="Z74" s="224" t="s">
        <v>77</v>
      </c>
      <c r="AA74" s="224" t="s">
        <v>89</v>
      </c>
      <c r="AB74" s="180"/>
      <c r="AC74" s="180"/>
      <c r="AD74" s="180"/>
      <c r="AE74" s="180"/>
      <c r="AF74" s="224" t="s">
        <v>77</v>
      </c>
      <c r="AG74" s="224" t="s">
        <v>89</v>
      </c>
      <c r="AH74" s="224" t="s">
        <v>89</v>
      </c>
      <c r="AI74" s="180"/>
      <c r="AJ74" s="224" t="s">
        <v>89</v>
      </c>
      <c r="AK74" s="180"/>
      <c r="AL74" s="180"/>
      <c r="AM74" s="224" t="s">
        <v>89</v>
      </c>
      <c r="AN74" s="181"/>
      <c r="AO74" s="6"/>
      <c r="AP74" s="6"/>
      <c r="AQ74" s="6"/>
      <c r="AR74" s="6"/>
    </row>
    <row r="75" spans="12:44" hidden="1" x14ac:dyDescent="0.25">
      <c r="R75" s="178"/>
      <c r="S75" s="180"/>
      <c r="T75" s="180"/>
      <c r="U75" s="180"/>
      <c r="V75" s="180"/>
      <c r="W75" s="180"/>
      <c r="X75" s="224" t="s">
        <v>67</v>
      </c>
      <c r="Y75" s="224" t="s">
        <v>78</v>
      </c>
      <c r="Z75" s="224" t="s">
        <v>78</v>
      </c>
      <c r="AA75" s="224" t="s">
        <v>90</v>
      </c>
      <c r="AB75" s="180"/>
      <c r="AC75" s="180"/>
      <c r="AD75" s="180"/>
      <c r="AE75" s="180"/>
      <c r="AF75" s="224" t="s">
        <v>78</v>
      </c>
      <c r="AG75" s="224" t="s">
        <v>90</v>
      </c>
      <c r="AH75" s="224" t="s">
        <v>90</v>
      </c>
      <c r="AI75" s="180"/>
      <c r="AJ75" s="224" t="s">
        <v>90</v>
      </c>
      <c r="AK75" s="180"/>
      <c r="AL75" s="180"/>
      <c r="AM75" s="224" t="s">
        <v>90</v>
      </c>
      <c r="AN75" s="181"/>
      <c r="AO75" s="6"/>
      <c r="AP75" s="6"/>
      <c r="AQ75" s="6"/>
      <c r="AR75" s="6"/>
    </row>
    <row r="76" spans="12:44" hidden="1" x14ac:dyDescent="0.25">
      <c r="R76" s="204"/>
      <c r="S76" s="182"/>
      <c r="T76" s="182"/>
      <c r="U76" s="182"/>
      <c r="V76" s="182"/>
      <c r="W76" s="182"/>
      <c r="X76" s="226" t="s">
        <v>314</v>
      </c>
      <c r="Y76" s="226" t="s">
        <v>79</v>
      </c>
      <c r="Z76" s="226" t="s">
        <v>79</v>
      </c>
      <c r="AA76" s="226" t="s">
        <v>91</v>
      </c>
      <c r="AB76" s="182"/>
      <c r="AC76" s="182"/>
      <c r="AD76" s="182"/>
      <c r="AE76" s="182"/>
      <c r="AF76" s="226" t="s">
        <v>79</v>
      </c>
      <c r="AG76" s="226" t="s">
        <v>91</v>
      </c>
      <c r="AH76" s="226" t="s">
        <v>91</v>
      </c>
      <c r="AI76" s="182"/>
      <c r="AJ76" s="226" t="s">
        <v>91</v>
      </c>
      <c r="AK76" s="182"/>
      <c r="AL76" s="182"/>
      <c r="AM76" s="226" t="s">
        <v>91</v>
      </c>
      <c r="AN76" s="200"/>
    </row>
  </sheetData>
  <sheetProtection sheet="1" objects="1" scenarios="1"/>
  <protectedRanges>
    <protectedRange sqref="B28:B36" name="Range4"/>
    <protectedRange sqref="C8:D25" name="Range2"/>
    <protectedRange sqref="D2:D5 J2" name="Range1"/>
    <protectedRange sqref="L8:P23" name="Range5"/>
  </protectedRanges>
  <dataConsolidate/>
  <mergeCells count="56">
    <mergeCell ref="E35:G35"/>
    <mergeCell ref="E36:G36"/>
    <mergeCell ref="B37:D37"/>
    <mergeCell ref="E37:G37"/>
    <mergeCell ref="B39:O39"/>
    <mergeCell ref="B40:O40"/>
    <mergeCell ref="E28:G28"/>
    <mergeCell ref="J28:J30"/>
    <mergeCell ref="L28:O37"/>
    <mergeCell ref="E29:G29"/>
    <mergeCell ref="E30:G30"/>
    <mergeCell ref="E31:G31"/>
    <mergeCell ref="J31:J37"/>
    <mergeCell ref="E32:G32"/>
    <mergeCell ref="E33:G33"/>
    <mergeCell ref="E34:G34"/>
    <mergeCell ref="C25:D25"/>
    <mergeCell ref="L25:M25"/>
    <mergeCell ref="N25:O25"/>
    <mergeCell ref="B27:D27"/>
    <mergeCell ref="E27:G27"/>
    <mergeCell ref="L27:O27"/>
    <mergeCell ref="C21:D21"/>
    <mergeCell ref="C22:D22"/>
    <mergeCell ref="C23:D23"/>
    <mergeCell ref="C24:D24"/>
    <mergeCell ref="L24:M24"/>
    <mergeCell ref="N24:O24"/>
    <mergeCell ref="C15:D15"/>
    <mergeCell ref="C16:D16"/>
    <mergeCell ref="C17:D17"/>
    <mergeCell ref="C18:D18"/>
    <mergeCell ref="C19:D19"/>
    <mergeCell ref="C20:D20"/>
    <mergeCell ref="C9:D9"/>
    <mergeCell ref="C10:D10"/>
    <mergeCell ref="C11:D11"/>
    <mergeCell ref="C12:D12"/>
    <mergeCell ref="C13:D13"/>
    <mergeCell ref="C14:D14"/>
    <mergeCell ref="B5:C5"/>
    <mergeCell ref="K5:K6"/>
    <mergeCell ref="L5:O5"/>
    <mergeCell ref="L6:O6"/>
    <mergeCell ref="C7:D7"/>
    <mergeCell ref="C8:D8"/>
    <mergeCell ref="E1:J1"/>
    <mergeCell ref="B2:C2"/>
    <mergeCell ref="F2:G2"/>
    <mergeCell ref="H2:I2"/>
    <mergeCell ref="L2:O2"/>
    <mergeCell ref="B3:C3"/>
    <mergeCell ref="F3:I5"/>
    <mergeCell ref="L3:O3"/>
    <mergeCell ref="B4:C4"/>
    <mergeCell ref="L4:O4"/>
  </mergeCells>
  <conditionalFormatting sqref="E37 B37">
    <cfRule type="expression" dxfId="20" priority="16">
      <formula>IF(AND($E$37&gt;0,$E$37=#REF!*1000),TRUE,FALSE)</formula>
    </cfRule>
  </conditionalFormatting>
  <conditionalFormatting sqref="B36:G36">
    <cfRule type="expression" dxfId="19" priority="15">
      <formula>IF($C$36="",TRUE,FALSE)</formula>
    </cfRule>
  </conditionalFormatting>
  <conditionalFormatting sqref="E8:E23">
    <cfRule type="expression" dxfId="18" priority="14">
      <formula>IF(E8&lt;&gt;"",IF(OR($E8&lt;1,E8&gt;9),TRUE,FALSE),FALSE)</formula>
    </cfRule>
  </conditionalFormatting>
  <conditionalFormatting sqref="F8:F23">
    <cfRule type="expression" dxfId="17" priority="13">
      <formula>IF($F8&lt;&gt;"",IF(OR($F8&lt;1,$F8&gt;8),TRUE,FALSE),FALSE)</formula>
    </cfRule>
  </conditionalFormatting>
  <conditionalFormatting sqref="G8:G23">
    <cfRule type="expression" dxfId="16" priority="12">
      <formula>IF($G8&lt;&gt;"",IF(OR($G8&lt;1,$G8&gt;6),TRUE,FALSE),FALSE)</formula>
    </cfRule>
  </conditionalFormatting>
  <conditionalFormatting sqref="H8:H23">
    <cfRule type="expression" dxfId="15" priority="11">
      <formula>IF(AND($H8&lt;&gt;"-",$H8&lt;&gt;""),IF(OR($H8&lt;1,$H8&gt;6),TRUE,FALSE),FALSE)</formula>
    </cfRule>
  </conditionalFormatting>
  <conditionalFormatting sqref="I8:I23">
    <cfRule type="expression" dxfId="14" priority="10">
      <formula>IF($I8&lt;&gt;"",IF(OR($I8&lt;3,$I8&gt;11),TRUE,FALSE),FALSE)</formula>
    </cfRule>
  </conditionalFormatting>
  <conditionalFormatting sqref="B27:G27">
    <cfRule type="expression" dxfId="13" priority="9">
      <formula>IF($E$27&lt;0, TRUE, FALSE)</formula>
    </cfRule>
  </conditionalFormatting>
  <conditionalFormatting sqref="B28">
    <cfRule type="expression" dxfId="12" priority="17">
      <formula>IF(AND($D$4&lt;&gt;"",$B$28=#REF!),TRUE,FALSE)</formula>
    </cfRule>
  </conditionalFormatting>
  <conditionalFormatting sqref="L2:O3">
    <cfRule type="notContainsBlanks" dxfId="11" priority="8">
      <formula>LEN(TRIM(L2))&gt;0</formula>
    </cfRule>
  </conditionalFormatting>
  <conditionalFormatting sqref="L8:O23">
    <cfRule type="expression" dxfId="10" priority="18">
      <formula>$L$5&lt;&gt;""</formula>
    </cfRule>
  </conditionalFormatting>
  <conditionalFormatting sqref="C24:C25">
    <cfRule type="expression" dxfId="9" priority="19">
      <formula>$AR$8</formula>
    </cfRule>
  </conditionalFormatting>
  <conditionalFormatting sqref="C8:C23">
    <cfRule type="expression" dxfId="8" priority="20">
      <formula>OR($L$2&lt;&gt;"", $L$3&lt;&gt;"")</formula>
    </cfRule>
  </conditionalFormatting>
  <conditionalFormatting sqref="L5:O5">
    <cfRule type="notContainsBlanks" dxfId="7" priority="7">
      <formula>LEN(TRIM(L5))&gt;0</formula>
    </cfRule>
  </conditionalFormatting>
  <conditionalFormatting sqref="B35:G35">
    <cfRule type="expression" dxfId="6" priority="21">
      <formula>IF($AH$11="No", TRUE, FALSE)</formula>
    </cfRule>
  </conditionalFormatting>
  <conditionalFormatting sqref="L27:O37">
    <cfRule type="expression" dxfId="5" priority="6">
      <formula>AND($L$24="",$L$25="")</formula>
    </cfRule>
  </conditionalFormatting>
  <conditionalFormatting sqref="B40:O40">
    <cfRule type="expression" dxfId="4" priority="5">
      <formula>$B$40=""</formula>
    </cfRule>
  </conditionalFormatting>
  <conditionalFormatting sqref="B39:O39">
    <cfRule type="expression" dxfId="3" priority="4">
      <formula>$B$39=""</formula>
    </cfRule>
  </conditionalFormatting>
  <conditionalFormatting sqref="L6:O6">
    <cfRule type="notContainsBlanks" dxfId="2" priority="3">
      <formula>LEN(TRIM(L6))&gt;0</formula>
    </cfRule>
  </conditionalFormatting>
  <conditionalFormatting sqref="J2">
    <cfRule type="expression" dxfId="1" priority="2">
      <formula>$L$6&lt;&gt;""</formula>
    </cfRule>
  </conditionalFormatting>
  <conditionalFormatting sqref="L4:O4">
    <cfRule type="notContainsBlanks" dxfId="0" priority="1">
      <formula>LEN(TRIM(L4))&gt;0</formula>
    </cfRule>
  </conditionalFormatting>
  <dataValidations count="12">
    <dataValidation type="list" allowBlank="1" showInputMessage="1" showErrorMessage="1" sqref="O8:O23" xr:uid="{F49A986D-4F8C-4AB4-A515-8AA7E601E11F}">
      <formula1>INDIRECT(AE8)</formula1>
    </dataValidation>
    <dataValidation type="list" allowBlank="1" showInputMessage="1" showErrorMessage="1" sqref="M8:M23" xr:uid="{FE5B5F1E-DE7A-48A6-98D0-41B1BF08F35B}">
      <formula1>INDIRECT(AD8)</formula1>
    </dataValidation>
    <dataValidation type="list" allowBlank="1" showInputMessage="1" showErrorMessage="1" sqref="B31" xr:uid="{05AB790F-722A-43B6-8003-140B39B4783E}">
      <formula1>$AI$8:$AI$20</formula1>
    </dataValidation>
    <dataValidation type="list" allowBlank="1" showInputMessage="1" showErrorMessage="1" sqref="B35 B33" xr:uid="{112D5947-9A0E-4915-824C-D6D29E1BCE88}">
      <formula1>$AI$8:$AI$11</formula1>
    </dataValidation>
    <dataValidation type="list" allowBlank="1" showInputMessage="1" showErrorMessage="1" sqref="B30 B28" xr:uid="{F03B05DA-FBC4-47F2-A298-6408C8BA7B2B}">
      <formula1>$AI$8:$AI$14</formula1>
    </dataValidation>
    <dataValidation type="list" allowBlank="1" showInputMessage="1" showErrorMessage="1" sqref="B29" xr:uid="{F3C85013-284B-45F6-9382-1E5594CD69EE}">
      <formula1>$AI$8:$AI$16</formula1>
    </dataValidation>
    <dataValidation type="list" allowBlank="1" showInputMessage="1" showErrorMessage="1" sqref="B36 B34" xr:uid="{A21ED5F3-E361-44EA-BA06-1F6144A4A26F}">
      <formula1>$AI$8:$AI$9</formula1>
    </dataValidation>
    <dataValidation type="list" allowBlank="1" showInputMessage="1" showErrorMessage="1" sqref="B32" xr:uid="{A41602AF-B5E5-43B8-9181-0EA1D6087361}">
      <formula1>$AI$8:$AI$10</formula1>
    </dataValidation>
    <dataValidation type="list" allowBlank="1" showInputMessage="1" showErrorMessage="1" sqref="C8:C23" xr:uid="{E457AC8A-7984-4138-B84C-69267B3241E8}">
      <formula1>$AK$8:$AK$24</formula1>
    </dataValidation>
    <dataValidation type="list" allowBlank="1" showInputMessage="1" showErrorMessage="1" sqref="N8:N23" xr:uid="{7465E583-83F9-459C-8167-7CB584EB0294}">
      <formula1>$R$29:$R$30</formula1>
    </dataValidation>
    <dataValidation type="list" allowBlank="1" showInputMessage="1" showErrorMessage="1" sqref="L8:L23" xr:uid="{5B806197-BD29-4176-B669-CC460C08367A}">
      <formula1>$R$29:$R$31</formula1>
    </dataValidation>
    <dataValidation type="list" allowBlank="1" showInputMessage="1" showErrorMessage="1" sqref="C24:D25" xr:uid="{92148927-235A-4706-8576-890A630D464C}">
      <formula1>$AQ$8:$AQ$30</formula1>
    </dataValidation>
  </dataValidations>
  <printOptions horizontalCentered="1" verticalCentered="1"/>
  <pageMargins left="0.23622047244094491" right="0.23622047244094491" top="0.23622047244094491" bottom="0.23622047244094491" header="0.31496062992125984" footer="0.31496062992125984"/>
  <pageSetup paperSize="9" scale="60" orientation="landscape" r:id="rId1"/>
  <colBreaks count="1" manualBreakCount="1">
    <brk id="16" max="1048575" man="1"/>
  </colBreaks>
  <drawing r:id="rId2"/>
  <extLst>
    <ext xmlns:x14="http://schemas.microsoft.com/office/spreadsheetml/2009/9/main" uri="{CCE6A557-97BC-4b89-ADB6-D9C93CAAB3DF}">
      <x14:dataValidations xmlns:xm="http://schemas.microsoft.com/office/excel/2006/main" count="2">
        <x14:dataValidation type="list" showInputMessage="1" showErrorMessage="1" xr:uid="{30217762-5A3C-42D2-9375-AC188FDCBD0B}">
          <x14:formula1>
            <xm:f>Teams!$B$1:$B$31</xm:f>
          </x14:formula1>
          <xm:sqref>D2</xm:sqref>
        </x14:dataValidation>
        <x14:dataValidation type="list" showInputMessage="1" showErrorMessage="1" xr:uid="{A96D70FF-1E02-485C-A836-177EA0445308}">
          <x14:formula1>
            <xm:f>INDIRECT("Skill_Packs!$B$" &amp; MATCH(F2,Skill_Packs!A1:A6,0) &amp; ":$E$" &amp; MATCH(F2,Skill_Packs!A1:A6,0))</xm:f>
          </x14:formula1>
          <xm:sqref>J2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28"/>
  <dimension ref="A1:N310"/>
  <sheetViews>
    <sheetView showRowColHeaders="0" topLeftCell="C2" zoomScale="80" zoomScaleNormal="80" workbookViewId="0">
      <selection activeCell="C2" sqref="C2"/>
    </sheetView>
  </sheetViews>
  <sheetFormatPr defaultColWidth="11.42578125" defaultRowHeight="15" x14ac:dyDescent="0.25"/>
  <cols>
    <col min="1" max="1" width="7" style="6" hidden="1" customWidth="1"/>
    <col min="2" max="2" width="15" style="6" hidden="1" customWidth="1"/>
    <col min="3" max="3" width="11.42578125" style="6"/>
    <col min="4" max="4" width="8.7109375" style="6" customWidth="1"/>
    <col min="5" max="5" width="22.85546875" style="6" customWidth="1"/>
    <col min="6" max="10" width="5.7109375" style="87" customWidth="1"/>
    <col min="11" max="11" width="45.85546875" style="6" customWidth="1"/>
    <col min="12" max="13" width="5.7109375" style="6" customWidth="1"/>
    <col min="14" max="14" width="6.7109375" style="22" customWidth="1"/>
    <col min="15" max="16384" width="11.42578125" style="6"/>
  </cols>
  <sheetData>
    <row r="1" spans="1:14" hidden="1" x14ac:dyDescent="0.25">
      <c r="D1" s="6">
        <v>3</v>
      </c>
      <c r="E1" s="6">
        <v>2</v>
      </c>
      <c r="F1" s="87">
        <v>6</v>
      </c>
      <c r="G1" s="87">
        <v>7</v>
      </c>
      <c r="H1" s="87">
        <v>8</v>
      </c>
      <c r="I1" s="87">
        <v>9</v>
      </c>
      <c r="J1" s="87">
        <v>10</v>
      </c>
      <c r="K1" s="6">
        <v>11</v>
      </c>
      <c r="L1" s="6">
        <v>12</v>
      </c>
      <c r="M1" s="6">
        <v>13</v>
      </c>
      <c r="N1" s="22">
        <v>5</v>
      </c>
    </row>
    <row r="3" spans="1:14" ht="21" x14ac:dyDescent="0.35">
      <c r="A3" s="6" t="s">
        <v>93</v>
      </c>
      <c r="B3" s="6">
        <v>4</v>
      </c>
      <c r="D3" s="472" t="str">
        <f>A3</f>
        <v>Amazon</v>
      </c>
      <c r="E3" s="473"/>
      <c r="F3" s="473"/>
      <c r="G3" s="473"/>
      <c r="H3" s="473"/>
      <c r="I3" s="473"/>
      <c r="J3" s="474"/>
      <c r="K3" s="476" t="s">
        <v>689</v>
      </c>
      <c r="L3" s="477"/>
      <c r="M3" s="477"/>
      <c r="N3" s="478"/>
    </row>
    <row r="4" spans="1:14" x14ac:dyDescent="0.25">
      <c r="A4" s="6" t="s">
        <v>93</v>
      </c>
      <c r="D4" s="64" t="s">
        <v>952</v>
      </c>
      <c r="E4" s="64" t="s">
        <v>4</v>
      </c>
      <c r="F4" s="113" t="s">
        <v>5</v>
      </c>
      <c r="G4" s="113" t="s">
        <v>6</v>
      </c>
      <c r="H4" s="113" t="s">
        <v>7</v>
      </c>
      <c r="I4" s="113" t="s">
        <v>8</v>
      </c>
      <c r="J4" s="113" t="s">
        <v>9</v>
      </c>
      <c r="K4" s="64" t="s">
        <v>662</v>
      </c>
      <c r="L4" s="64" t="s">
        <v>674</v>
      </c>
      <c r="M4" s="64" t="s">
        <v>675</v>
      </c>
      <c r="N4" s="116" t="s">
        <v>879</v>
      </c>
    </row>
    <row r="5" spans="1:14" x14ac:dyDescent="0.25">
      <c r="A5" s="6" t="s">
        <v>93</v>
      </c>
      <c r="B5" s="6">
        <v>1</v>
      </c>
      <c r="D5" s="114" t="str">
        <f>CONCATENATE("0-",VLOOKUP(CONCATENATE(VLOOKUP(A5,TEAMS,2,FALSE),TEXT(B5,"00")),PLAYERS,$D$1,FALSE),IF(VLOOKUP(CONCATENATE(VLOOKUP(A5,TEAMS,2,FALSE),TEXT(B5,"00")),PLAYERS,$D$1+1,FALSE)="BG"," *",""))</f>
        <v>0-16</v>
      </c>
      <c r="E5" s="115" t="str">
        <f>VLOOKUP(CONCATENATE(VLOOKUP(A5,TEAMS,2,FALSE),TEXT($B5,"00")),PLAYERS,E$1,FALSE)</f>
        <v>Eagle Warrior Linewoman</v>
      </c>
      <c r="F5" s="113">
        <f>VLOOKUP(CONCATENATE(VLOOKUP(A5,TEAMS,2,FALSE),TEXT($B5,"00")),PLAYERS,F$1,FALSE)</f>
        <v>6</v>
      </c>
      <c r="G5" s="113">
        <f>VLOOKUP(CONCATENATE(VLOOKUP(A5,TEAMS,2,FALSE),TEXT($B5,"00")),PLAYERS,G$1,FALSE)</f>
        <v>3</v>
      </c>
      <c r="H5" s="113" t="str">
        <f>CONCATENATE(VLOOKUP(CONCATENATE(VLOOKUP(A5,TEAMS,2,FALSE),TEXT($B5,"00")),PLAYERS,H$1,FALSE),"+")</f>
        <v>3+</v>
      </c>
      <c r="I5" s="113" t="str">
        <f>CONCATENATE(VLOOKUP(CONCATENATE(VLOOKUP(A5,TEAMS,2,FALSE),TEXT($B5,"00")),PLAYERS,I$1,FALSE),IF(VLOOKUP(CONCATENATE(VLOOKUP(A5,TEAMS,2,FALSE),TEXT($B5,"00")),PLAYERS,I$1,FALSE)="-","","+"))</f>
        <v>4+</v>
      </c>
      <c r="J5" s="113" t="str">
        <f>CONCATENATE(VLOOKUP(CONCATENATE(VLOOKUP(A5,TEAMS,2,FALSE),TEXT($B5,"00")),PLAYERS,J$1,FALSE),"+")</f>
        <v>8+</v>
      </c>
      <c r="K5" s="115" t="str">
        <f>VLOOKUP(CONCATENATE(VLOOKUP(A5,TEAMS,2,FALSE),TEXT($B5,"00")),PLAYERS,K$1,FALSE)</f>
        <v>Dodge</v>
      </c>
      <c r="L5" s="114" t="str">
        <f>VLOOKUP(CONCATENATE(VLOOKUP(A5,TEAMS,2,FALSE),TEXT($B5,"00")),PLAYERS,L$1,FALSE)</f>
        <v>G</v>
      </c>
      <c r="M5" s="114" t="str">
        <f>VLOOKUP(CONCATENATE(VLOOKUP(A5,TEAMS,2,FALSE),TEXT($B5,"00")),PLAYERS,M$1,FALSE)</f>
        <v>AS</v>
      </c>
      <c r="N5" s="113" t="str">
        <f>CONCATENATE(ABS(VLOOKUP(CONCATENATE(VLOOKUP(A5,TEAMS,2,FALSE),TEXT(B5,"00")),PLAYERS,5,FALSE)),"k")</f>
        <v>50k</v>
      </c>
    </row>
    <row r="6" spans="1:14" x14ac:dyDescent="0.25">
      <c r="A6" s="6" t="s">
        <v>93</v>
      </c>
      <c r="B6" s="6">
        <v>2</v>
      </c>
      <c r="D6" s="114" t="str">
        <f>CONCATENATE("0-",VLOOKUP(CONCATENATE(VLOOKUP(A6,TEAMS,2,FALSE),TEXT(B6,"00")),PLAYERS,$D$1,FALSE),IF(VLOOKUP(CONCATENATE(VLOOKUP(A6,TEAMS,2,FALSE),TEXT(B6,"00")),PLAYERS,$D$1+1,FALSE)="BG"," *",""))</f>
        <v>0-2</v>
      </c>
      <c r="E6" s="115" t="str">
        <f>VLOOKUP(CONCATENATE(VLOOKUP(A6,TEAMS,2,FALSE),TEXT($B6,"00")),PLAYERS,E$1,FALSE)</f>
        <v>Python Warrior Thrower</v>
      </c>
      <c r="F6" s="113">
        <f>VLOOKUP(CONCATENATE(VLOOKUP(A6,TEAMS,2,FALSE),TEXT($B6,"00")),PLAYERS,F$1,FALSE)</f>
        <v>6</v>
      </c>
      <c r="G6" s="113">
        <f>VLOOKUP(CONCATENATE(VLOOKUP(A6,TEAMS,2,FALSE),TEXT($B6,"00")),PLAYERS,G$1,FALSE)</f>
        <v>3</v>
      </c>
      <c r="H6" s="113" t="str">
        <f>CONCATENATE(VLOOKUP(CONCATENATE(VLOOKUP(A6,TEAMS,2,FALSE),TEXT($B6,"00")),PLAYERS,H$1,FALSE),"+")</f>
        <v>3+</v>
      </c>
      <c r="I6" s="113" t="str">
        <f>CONCATENATE(VLOOKUP(CONCATENATE(VLOOKUP(A6,TEAMS,2,FALSE),TEXT($B6,"00")),PLAYERS,I$1,FALSE),IF(VLOOKUP(CONCATENATE(VLOOKUP(A6,TEAMS,2,FALSE),TEXT($B6,"00")),PLAYERS,I$1,FALSE)="-","","+"))</f>
        <v>3+</v>
      </c>
      <c r="J6" s="113" t="str">
        <f>CONCATENATE(VLOOKUP(CONCATENATE(VLOOKUP(A6,TEAMS,2,FALSE),TEXT($B6,"00")),PLAYERS,J$1,FALSE),"+")</f>
        <v>8+</v>
      </c>
      <c r="K6" s="115" t="str">
        <f>VLOOKUP(CONCATENATE(VLOOKUP(A6,TEAMS,2,FALSE),TEXT($B6,"00")),PLAYERS,K$1,FALSE)</f>
        <v>Dodge, On the Ball, Pass, Safe Pass</v>
      </c>
      <c r="L6" s="114" t="str">
        <f>VLOOKUP(CONCATENATE(VLOOKUP(A6,TEAMS,2,FALSE),TEXT($B6,"00")),PLAYERS,L$1,FALSE)</f>
        <v>GP</v>
      </c>
      <c r="M6" s="114" t="str">
        <f>VLOOKUP(CONCATENATE(VLOOKUP(A6,TEAMS,2,FALSE),TEXT($B6,"00")),PLAYERS,M$1,FALSE)</f>
        <v>AS</v>
      </c>
      <c r="N6" s="113" t="str">
        <f>CONCATENATE(ABS(VLOOKUP(CONCATENATE(VLOOKUP(A6,TEAMS,2,FALSE),TEXT(B6,"00")),PLAYERS,5,FALSE)),"k")</f>
        <v>80k</v>
      </c>
    </row>
    <row r="7" spans="1:14" x14ac:dyDescent="0.25">
      <c r="A7" s="6" t="s">
        <v>93</v>
      </c>
      <c r="B7" s="6">
        <v>3</v>
      </c>
      <c r="D7" s="114" t="str">
        <f>CONCATENATE("0-",VLOOKUP(CONCATENATE(VLOOKUP(A7,TEAMS,2,FALSE),TEXT(B7,"00")),PLAYERS,$D$1,FALSE),IF(VLOOKUP(CONCATENATE(VLOOKUP(A7,TEAMS,2,FALSE),TEXT(B7,"00")),PLAYERS,$D$1+1,FALSE)="BG"," *",""))</f>
        <v>0-2</v>
      </c>
      <c r="E7" s="115" t="str">
        <f>VLOOKUP(CONCATENATE(VLOOKUP(A7,TEAMS,2,FALSE),TEXT($B7,"00")),PLAYERS,E$1,FALSE)</f>
        <v>Piranha Warrior Blitzer</v>
      </c>
      <c r="F7" s="113">
        <f>VLOOKUP(CONCATENATE(VLOOKUP(A7,TEAMS,2,FALSE),TEXT($B7,"00")),PLAYERS,F$1,FALSE)</f>
        <v>7</v>
      </c>
      <c r="G7" s="113">
        <f>VLOOKUP(CONCATENATE(VLOOKUP(A7,TEAMS,2,FALSE),TEXT($B7,"00")),PLAYERS,G$1,FALSE)</f>
        <v>3</v>
      </c>
      <c r="H7" s="113" t="str">
        <f>CONCATENATE(VLOOKUP(CONCATENATE(VLOOKUP(A7,TEAMS,2,FALSE),TEXT($B7,"00")),PLAYERS,H$1,FALSE),"+")</f>
        <v>3+</v>
      </c>
      <c r="I7" s="113" t="str">
        <f>CONCATENATE(VLOOKUP(CONCATENATE(VLOOKUP(A7,TEAMS,2,FALSE),TEXT($B7,"00")),PLAYERS,I$1,FALSE),IF(VLOOKUP(CONCATENATE(VLOOKUP(A7,TEAMS,2,FALSE),TEXT($B7,"00")),PLAYERS,I$1,FALSE)="-","","+"))</f>
        <v>5+</v>
      </c>
      <c r="J7" s="113" t="str">
        <f>CONCATENATE(VLOOKUP(CONCATENATE(VLOOKUP(A7,TEAMS,2,FALSE),TEXT($B7,"00")),PLAYERS,J$1,FALSE),"+")</f>
        <v>8+</v>
      </c>
      <c r="K7" s="115" t="str">
        <f>VLOOKUP(CONCATENATE(VLOOKUP(A7,TEAMS,2,FALSE),TEXT($B7,"00")),PLAYERS,K$1,FALSE)</f>
        <v>Dodge, Hit and Run, Jump Up</v>
      </c>
      <c r="L7" s="114" t="str">
        <f>VLOOKUP(CONCATENATE(VLOOKUP(A7,TEAMS,2,FALSE),TEXT($B7,"00")),PLAYERS,L$1,FALSE)</f>
        <v>AG</v>
      </c>
      <c r="M7" s="114" t="str">
        <f>VLOOKUP(CONCATENATE(VLOOKUP(A7,TEAMS,2,FALSE),TEXT($B7,"00")),PLAYERS,M$1,FALSE)</f>
        <v>S</v>
      </c>
      <c r="N7" s="113" t="str">
        <f>CONCATENATE(ABS(VLOOKUP(CONCATENATE(VLOOKUP(A7,TEAMS,2,FALSE),TEXT(B7,"00")),PLAYERS,5,FALSE)),"k")</f>
        <v>90k</v>
      </c>
    </row>
    <row r="8" spans="1:14" x14ac:dyDescent="0.25">
      <c r="A8" s="6" t="s">
        <v>93</v>
      </c>
      <c r="B8" s="6">
        <v>4</v>
      </c>
      <c r="D8" s="114" t="str">
        <f>CONCATENATE("0-",VLOOKUP(CONCATENATE(VLOOKUP(A8,TEAMS,2,FALSE),TEXT(B8,"00")),PLAYERS,$D$1,FALSE),IF(VLOOKUP(CONCATENATE(VLOOKUP(A8,TEAMS,2,FALSE),TEXT(B8,"00")),PLAYERS,$D$1+1,FALSE)="BG"," *",""))</f>
        <v>0-2</v>
      </c>
      <c r="E8" s="115" t="str">
        <f>VLOOKUP(CONCATENATE(VLOOKUP(A8,TEAMS,2,FALSE),TEXT($B8,"00")),PLAYERS,E$1,FALSE)</f>
        <v>Jaguar Warrior Blocker</v>
      </c>
      <c r="F8" s="113">
        <f>VLOOKUP(CONCATENATE(VLOOKUP(A8,TEAMS,2,FALSE),TEXT($B8,"00")),PLAYERS,F$1,FALSE)</f>
        <v>6</v>
      </c>
      <c r="G8" s="113">
        <f>VLOOKUP(CONCATENATE(VLOOKUP(A8,TEAMS,2,FALSE),TEXT($B8,"00")),PLAYERS,G$1,FALSE)</f>
        <v>4</v>
      </c>
      <c r="H8" s="113" t="str">
        <f>CONCATENATE(VLOOKUP(CONCATENATE(VLOOKUP(A8,TEAMS,2,FALSE),TEXT($B8,"00")),PLAYERS,H$1,FALSE),"+")</f>
        <v>3+</v>
      </c>
      <c r="I8" s="113" t="str">
        <f>CONCATENATE(VLOOKUP(CONCATENATE(VLOOKUP(A8,TEAMS,2,FALSE),TEXT($B8,"00")),PLAYERS,I$1,FALSE),IF(VLOOKUP(CONCATENATE(VLOOKUP(A8,TEAMS,2,FALSE),TEXT($B8,"00")),PLAYERS,I$1,FALSE)="-","","+"))</f>
        <v>5+</v>
      </c>
      <c r="J8" s="113" t="str">
        <f>CONCATENATE(VLOOKUP(CONCATENATE(VLOOKUP(A8,TEAMS,2,FALSE),TEXT($B8,"00")),PLAYERS,J$1,FALSE),"+")</f>
        <v>9+</v>
      </c>
      <c r="K8" s="115" t="str">
        <f>VLOOKUP(CONCATENATE(VLOOKUP(A8,TEAMS,2,FALSE),TEXT($B8,"00")),PLAYERS,K$1,FALSE)</f>
        <v>Defensive, Dodge</v>
      </c>
      <c r="L8" s="114" t="str">
        <f>VLOOKUP(CONCATENATE(VLOOKUP(A8,TEAMS,2,FALSE),TEXT($B8,"00")),PLAYERS,L$1,FALSE)</f>
        <v>GS</v>
      </c>
      <c r="M8" s="114" t="str">
        <f>VLOOKUP(CONCATENATE(VLOOKUP(A8,TEAMS,2,FALSE),TEXT($B8,"00")),PLAYERS,M$1,FALSE)</f>
        <v>A</v>
      </c>
      <c r="N8" s="113" t="str">
        <f>CONCATENATE(ABS(VLOOKUP(CONCATENATE(VLOOKUP(A8,TEAMS,2,FALSE),TEXT(B8,"00")),PLAYERS,5,FALSE)),"k")</f>
        <v>110k</v>
      </c>
    </row>
    <row r="9" spans="1:14" x14ac:dyDescent="0.25">
      <c r="D9" s="64" t="s">
        <v>676</v>
      </c>
      <c r="E9" s="64" t="str">
        <f>CONCATENATE(VLOOKUP(A3,TEAMS,5,FALSE),"k")</f>
        <v>60k</v>
      </c>
      <c r="F9" s="466" t="s">
        <v>680</v>
      </c>
      <c r="G9" s="471"/>
      <c r="H9" s="471"/>
      <c r="I9" s="467"/>
      <c r="J9" s="113" t="str">
        <f>VLOOKUP(A3,TEAMS,6,FALSE)</f>
        <v>Yes</v>
      </c>
      <c r="K9" s="468" t="s">
        <v>681</v>
      </c>
      <c r="L9" s="469"/>
      <c r="M9" s="470"/>
      <c r="N9" s="116">
        <f>VLOOKUP(A3,TEAMS,8,FALSE)</f>
        <v>2</v>
      </c>
    </row>
    <row r="10" spans="1:14" ht="15" customHeight="1" x14ac:dyDescent="0.25">
      <c r="D10" s="466" t="s">
        <v>682</v>
      </c>
      <c r="E10" s="467"/>
      <c r="F10" s="462" t="str">
        <f>IFERROR(VLOOKUP(LEFT(VLOOKUP(A4,TEAMS,7,FALSE),3),SpecialRules,3,FALSE) &amp; VLOOKUP(MID(VLOOKUP(A4,TEAMS,7,FALSE),4,3),SpecialRules,3,FALSE),"")</f>
        <v/>
      </c>
      <c r="G10" s="462"/>
      <c r="H10" s="462"/>
      <c r="I10" s="462"/>
      <c r="J10" s="462"/>
      <c r="K10" s="462"/>
      <c r="L10" s="462"/>
      <c r="M10" s="462"/>
      <c r="N10" s="462"/>
    </row>
    <row r="12" spans="1:14" ht="21" x14ac:dyDescent="0.35">
      <c r="A12" s="6" t="s">
        <v>92</v>
      </c>
      <c r="B12" s="6">
        <v>3</v>
      </c>
      <c r="D12" s="459" t="str">
        <f>A12</f>
        <v>Black Orc</v>
      </c>
      <c r="E12" s="459"/>
      <c r="F12" s="459"/>
      <c r="G12" s="459"/>
      <c r="H12" s="459"/>
      <c r="I12" s="459"/>
      <c r="J12" s="459"/>
      <c r="K12" s="459"/>
      <c r="L12" s="459"/>
      <c r="M12" s="459"/>
      <c r="N12" s="459"/>
    </row>
    <row r="13" spans="1:14" x14ac:dyDescent="0.25">
      <c r="A13" s="6" t="s">
        <v>92</v>
      </c>
      <c r="D13" s="64" t="s">
        <v>952</v>
      </c>
      <c r="E13" s="64" t="s">
        <v>4</v>
      </c>
      <c r="F13" s="113" t="s">
        <v>5</v>
      </c>
      <c r="G13" s="113" t="s">
        <v>6</v>
      </c>
      <c r="H13" s="113" t="s">
        <v>7</v>
      </c>
      <c r="I13" s="113" t="s">
        <v>8</v>
      </c>
      <c r="J13" s="113" t="s">
        <v>9</v>
      </c>
      <c r="K13" s="64" t="s">
        <v>662</v>
      </c>
      <c r="L13" s="64" t="s">
        <v>674</v>
      </c>
      <c r="M13" s="64" t="s">
        <v>675</v>
      </c>
      <c r="N13" s="116" t="s">
        <v>879</v>
      </c>
    </row>
    <row r="14" spans="1:14" x14ac:dyDescent="0.25">
      <c r="A14" s="6" t="s">
        <v>92</v>
      </c>
      <c r="B14" s="6">
        <v>1</v>
      </c>
      <c r="D14" s="114" t="str">
        <f>CONCATENATE("0-",VLOOKUP(CONCATENATE(VLOOKUP(A14,TEAMS,2,FALSE),TEXT(B14,"00")),PLAYERS,$D$1,FALSE),IF(VLOOKUP(CONCATENATE(VLOOKUP(A14,TEAMS,2,FALSE),TEXT(B14,"00")),PLAYERS,$D$1+1,FALSE)="BG"," *",""))</f>
        <v>0-12</v>
      </c>
      <c r="E14" s="114" t="str">
        <f>VLOOKUP(CONCATENATE(VLOOKUP(A14,TEAMS,2,FALSE),TEXT($B14,"00")),PLAYERS,E$1,FALSE)</f>
        <v>Goblin Bruiser Lineman</v>
      </c>
      <c r="F14" s="113">
        <f>VLOOKUP(CONCATENATE(VLOOKUP(A14,TEAMS,2,FALSE),TEXT($B14,"00")),PLAYERS,F$1,FALSE)</f>
        <v>6</v>
      </c>
      <c r="G14" s="113">
        <f>VLOOKUP(CONCATENATE(VLOOKUP(A14,TEAMS,2,FALSE),TEXT($B14,"00")),PLAYERS,G$1,FALSE)</f>
        <v>2</v>
      </c>
      <c r="H14" s="113" t="str">
        <f>CONCATENATE(VLOOKUP(CONCATENATE(VLOOKUP(A14,TEAMS,2,FALSE),TEXT($B14,"00")),PLAYERS,H$1,FALSE),"+")</f>
        <v>3+</v>
      </c>
      <c r="I14" s="113" t="str">
        <f>CONCATENATE(VLOOKUP(CONCATENATE(VLOOKUP(A14,TEAMS,2,FALSE),TEXT($B14,"00")),PLAYERS,I$1,FALSE),IF(VLOOKUP(CONCATENATE(VLOOKUP(A14,TEAMS,2,FALSE),TEXT($B14,"00")),PLAYERS,I$1,FALSE)="-","","+"))</f>
        <v>4+</v>
      </c>
      <c r="J14" s="113" t="str">
        <f>CONCATENATE(VLOOKUP(CONCATENATE(VLOOKUP(A14,TEAMS,2,FALSE),TEXT($B14,"00")),PLAYERS,J$1,FALSE),"+")</f>
        <v>8+</v>
      </c>
      <c r="K14" s="115" t="str">
        <f>VLOOKUP(CONCATENATE(VLOOKUP(A14,TEAMS,2,FALSE),TEXT($B14,"00")),PLAYERS,K$1,FALSE)</f>
        <v>Dodge, Right Stuff, Stunty, Thick Skull</v>
      </c>
      <c r="L14" s="114" t="str">
        <f>VLOOKUP(CONCATENATE(VLOOKUP(A14,TEAMS,2,FALSE),TEXT($B14,"00")),PLAYERS,L$1,FALSE)</f>
        <v>A</v>
      </c>
      <c r="M14" s="114" t="str">
        <f>VLOOKUP(CONCATENATE(VLOOKUP(A14,TEAMS,2,FALSE),TEXT($B14,"00")),PLAYERS,M$1,FALSE)</f>
        <v>GPS</v>
      </c>
      <c r="N14" s="113" t="str">
        <f>CONCATENATE(ABS(VLOOKUP(CONCATENATE(VLOOKUP(A14,TEAMS,2,FALSE),TEXT(B14,"00")),PLAYERS,5,FALSE)),"k")</f>
        <v>45k</v>
      </c>
    </row>
    <row r="15" spans="1:14" x14ac:dyDescent="0.25">
      <c r="A15" s="6" t="s">
        <v>92</v>
      </c>
      <c r="B15" s="6">
        <v>2</v>
      </c>
      <c r="D15" s="114" t="str">
        <f>CONCATENATE("0-",VLOOKUP(CONCATENATE(VLOOKUP(A15,TEAMS,2,FALSE),TEXT(B15,"00")),PLAYERS,$D$1,FALSE),IF(VLOOKUP(CONCATENATE(VLOOKUP(A15,TEAMS,2,FALSE),TEXT(B15,"00")),PLAYERS,$D$1+1,FALSE)="BG"," *",""))</f>
        <v>0-6</v>
      </c>
      <c r="E15" s="114" t="str">
        <f>VLOOKUP(CONCATENATE(VLOOKUP(A15,TEAMS,2,FALSE),TEXT($B15,"00")),PLAYERS,E$1,FALSE)</f>
        <v>Black Orc</v>
      </c>
      <c r="F15" s="113">
        <f>VLOOKUP(CONCATENATE(VLOOKUP(A15,TEAMS,2,FALSE),TEXT($B15,"00")),PLAYERS,F$1,FALSE)</f>
        <v>4</v>
      </c>
      <c r="G15" s="113">
        <f>VLOOKUP(CONCATENATE(VLOOKUP(A15,TEAMS,2,FALSE),TEXT($B15,"00")),PLAYERS,G$1,FALSE)</f>
        <v>4</v>
      </c>
      <c r="H15" s="113" t="str">
        <f>CONCATENATE(VLOOKUP(CONCATENATE(VLOOKUP(A15,TEAMS,2,FALSE),TEXT($B15,"00")),PLAYERS,H$1,FALSE),"+")</f>
        <v>4+</v>
      </c>
      <c r="I15" s="113" t="str">
        <f>CONCATENATE(VLOOKUP(CONCATENATE(VLOOKUP(A15,TEAMS,2,FALSE),TEXT($B15,"00")),PLAYERS,I$1,FALSE),IF(VLOOKUP(CONCATENATE(VLOOKUP(A15,TEAMS,2,FALSE),TEXT($B15,"00")),PLAYERS,I$1,FALSE)="-","","+"))</f>
        <v>5+</v>
      </c>
      <c r="J15" s="113" t="str">
        <f>CONCATENATE(VLOOKUP(CONCATENATE(VLOOKUP(A15,TEAMS,2,FALSE),TEXT($B15,"00")),PLAYERS,J$1,FALSE),"+")</f>
        <v>10+</v>
      </c>
      <c r="K15" s="115" t="str">
        <f>VLOOKUP(CONCATENATE(VLOOKUP(A15,TEAMS,2,FALSE),TEXT($B15,"00")),PLAYERS,K$1,FALSE)</f>
        <v>Brawler, Grab</v>
      </c>
      <c r="L15" s="114" t="str">
        <f>VLOOKUP(CONCATENATE(VLOOKUP(A15,TEAMS,2,FALSE),TEXT($B15,"00")),PLAYERS,L$1,FALSE)</f>
        <v>GS</v>
      </c>
      <c r="M15" s="114" t="str">
        <f>VLOOKUP(CONCATENATE(VLOOKUP(A15,TEAMS,2,FALSE),TEXT($B15,"00")),PLAYERS,M$1,FALSE)</f>
        <v>AP</v>
      </c>
      <c r="N15" s="113" t="str">
        <f>CONCATENATE(ABS(VLOOKUP(CONCATENATE(VLOOKUP(A15,TEAMS,2,FALSE),TEXT(B15,"00")),PLAYERS,5,FALSE)),"k")</f>
        <v>90k</v>
      </c>
    </row>
    <row r="16" spans="1:14" ht="47.25" customHeight="1" x14ac:dyDescent="0.25">
      <c r="A16" s="6" t="s">
        <v>92</v>
      </c>
      <c r="B16" s="6">
        <v>3</v>
      </c>
      <c r="D16" s="114" t="str">
        <f>CONCATENATE("0-",VLOOKUP(CONCATENATE(VLOOKUP(A16,TEAMS,2,FALSE),TEXT(B16,"00")),PLAYERS,$D$1,FALSE),IF(VLOOKUP(CONCATENATE(VLOOKUP(A16,TEAMS,2,FALSE),TEXT(B16,"00")),PLAYERS,$D$1+1,FALSE)="BG"," *",""))</f>
        <v>0-1</v>
      </c>
      <c r="E16" s="115" t="str">
        <f>VLOOKUP(CONCATENATE(VLOOKUP(A16,TEAMS,2,FALSE),TEXT($B16,"00")),PLAYERS,E$1,FALSE)</f>
        <v>Trained Troll for Black Orcs</v>
      </c>
      <c r="F16" s="113">
        <f>VLOOKUP(CONCATENATE(VLOOKUP(A16,TEAMS,2,FALSE),TEXT($B16,"00")),PLAYERS,F$1,FALSE)</f>
        <v>4</v>
      </c>
      <c r="G16" s="113">
        <f>VLOOKUP(CONCATENATE(VLOOKUP(A16,TEAMS,2,FALSE),TEXT($B16,"00")),PLAYERS,G$1,FALSE)</f>
        <v>5</v>
      </c>
      <c r="H16" s="113" t="str">
        <f>CONCATENATE(VLOOKUP(CONCATENATE(VLOOKUP(A16,TEAMS,2,FALSE),TEXT($B16,"00")),PLAYERS,H$1,FALSE),"+")</f>
        <v>5+</v>
      </c>
      <c r="I16" s="113" t="str">
        <f>CONCATENATE(VLOOKUP(CONCATENATE(VLOOKUP(A16,TEAMS,2,FALSE),TEXT($B16,"00")),PLAYERS,I$1,FALSE),IF(VLOOKUP(CONCATENATE(VLOOKUP(A16,TEAMS,2,FALSE),TEXT($B16,"00")),PLAYERS,I$1,FALSE)="-","","+"))</f>
        <v>5+</v>
      </c>
      <c r="J16" s="113" t="str">
        <f>CONCATENATE(VLOOKUP(CONCATENATE(VLOOKUP(A16,TEAMS,2,FALSE),TEXT($B16,"00")),PLAYERS,J$1,FALSE),"+")</f>
        <v>10+</v>
      </c>
      <c r="K16" s="115" t="str">
        <f>VLOOKUP(CONCATENATE(VLOOKUP(A16,TEAMS,2,FALSE),TEXT($B16,"00")),PLAYERS,K$1,FALSE)</f>
        <v>Always Hungry*, Loner (3+)*, Mighty Blow (+1), Projectile Vomit, Really Stupid*, Regeneration, Throw Team-mate</v>
      </c>
      <c r="L16" s="114" t="str">
        <f>VLOOKUP(CONCATENATE(VLOOKUP(A16,TEAMS,2,FALSE),TEXT($B16,"00")),PLAYERS,L$1,FALSE)</f>
        <v>S</v>
      </c>
      <c r="M16" s="114" t="str">
        <f>VLOOKUP(CONCATENATE(VLOOKUP(A16,TEAMS,2,FALSE),TEXT($B16,"00")),PLAYERS,M$1,FALSE)</f>
        <v>AGP</v>
      </c>
      <c r="N16" s="113" t="str">
        <f>CONCATENATE(ABS(VLOOKUP(CONCATENATE(VLOOKUP(A16,TEAMS,2,FALSE),TEXT(B16,"00")),PLAYERS,5,FALSE)),"k")</f>
        <v>115k</v>
      </c>
    </row>
    <row r="17" spans="1:14" x14ac:dyDescent="0.25">
      <c r="A17" s="6" t="s">
        <v>92</v>
      </c>
      <c r="D17" s="64" t="s">
        <v>676</v>
      </c>
      <c r="E17" s="64" t="str">
        <f>CONCATENATE(VLOOKUP(A12,TEAMS,5,FALSE),"k")</f>
        <v>60k</v>
      </c>
      <c r="F17" s="460" t="s">
        <v>680</v>
      </c>
      <c r="G17" s="460"/>
      <c r="H17" s="460"/>
      <c r="I17" s="460"/>
      <c r="J17" s="113" t="str">
        <f>VLOOKUP(A12,TEAMS,6,FALSE)</f>
        <v>Yes</v>
      </c>
      <c r="K17" s="461" t="s">
        <v>681</v>
      </c>
      <c r="L17" s="461"/>
      <c r="M17" s="461"/>
      <c r="N17" s="116">
        <f>VLOOKUP(A12,TEAMS,8,FALSE)</f>
        <v>3</v>
      </c>
    </row>
    <row r="18" spans="1:14" ht="30" customHeight="1" x14ac:dyDescent="0.25">
      <c r="A18" s="6" t="s">
        <v>92</v>
      </c>
      <c r="D18" s="460" t="s">
        <v>682</v>
      </c>
      <c r="E18" s="460"/>
      <c r="F18" s="462" t="str">
        <f>IFERROR(VLOOKUP(LEFT(VLOOKUP(A12,TEAMS,7,FALSE),3),SpecialRules,3,FALSE) &amp; VLOOKUP(MID(VLOOKUP(A12,TEAMS,7,FALSE),4,3),SpecialRules,3,FALSE),"")</f>
        <v>Once per game, when rolling on the Argue the Call table, you may re-roll a roll of a natural 1. Bribes are 50,000 gold pieces each.</v>
      </c>
      <c r="G18" s="462"/>
      <c r="H18" s="462"/>
      <c r="I18" s="462"/>
      <c r="J18" s="462"/>
      <c r="K18" s="462"/>
      <c r="L18" s="462"/>
      <c r="M18" s="462"/>
      <c r="N18" s="462"/>
    </row>
    <row r="19" spans="1:14" x14ac:dyDescent="0.25">
      <c r="D19" s="464"/>
      <c r="E19" s="464"/>
      <c r="F19" s="464"/>
      <c r="G19" s="464"/>
      <c r="H19" s="464"/>
      <c r="I19" s="464"/>
      <c r="J19" s="464"/>
      <c r="K19" s="464"/>
      <c r="L19" s="464"/>
      <c r="M19" s="464"/>
      <c r="N19" s="464"/>
    </row>
    <row r="20" spans="1:14" x14ac:dyDescent="0.25">
      <c r="D20" s="463"/>
      <c r="E20" s="463"/>
      <c r="F20" s="463"/>
      <c r="G20" s="463"/>
      <c r="H20" s="463"/>
      <c r="I20" s="463"/>
      <c r="J20" s="463"/>
      <c r="K20" s="463"/>
      <c r="L20" s="463"/>
      <c r="M20" s="463"/>
      <c r="N20" s="463"/>
    </row>
    <row r="21" spans="1:14" ht="21" x14ac:dyDescent="0.35">
      <c r="A21" s="6" t="s">
        <v>94</v>
      </c>
      <c r="B21" s="6">
        <v>5</v>
      </c>
      <c r="D21" s="459" t="str">
        <f>A21</f>
        <v>Chaos Chosen</v>
      </c>
      <c r="E21" s="459"/>
      <c r="F21" s="459"/>
      <c r="G21" s="459"/>
      <c r="H21" s="459"/>
      <c r="I21" s="459"/>
      <c r="J21" s="459"/>
      <c r="K21" s="459"/>
      <c r="L21" s="459"/>
      <c r="M21" s="459"/>
      <c r="N21" s="459"/>
    </row>
    <row r="22" spans="1:14" x14ac:dyDescent="0.25">
      <c r="A22" s="6" t="s">
        <v>94</v>
      </c>
      <c r="D22" s="64" t="s">
        <v>952</v>
      </c>
      <c r="E22" s="64" t="s">
        <v>4</v>
      </c>
      <c r="F22" s="113" t="s">
        <v>5</v>
      </c>
      <c r="G22" s="113" t="s">
        <v>6</v>
      </c>
      <c r="H22" s="113" t="s">
        <v>7</v>
      </c>
      <c r="I22" s="113" t="s">
        <v>8</v>
      </c>
      <c r="J22" s="113" t="s">
        <v>9</v>
      </c>
      <c r="K22" s="64" t="s">
        <v>662</v>
      </c>
      <c r="L22" s="64" t="s">
        <v>674</v>
      </c>
      <c r="M22" s="64" t="s">
        <v>675</v>
      </c>
      <c r="N22" s="116" t="s">
        <v>879</v>
      </c>
    </row>
    <row r="23" spans="1:14" ht="30" x14ac:dyDescent="0.25">
      <c r="A23" s="6" t="s">
        <v>94</v>
      </c>
      <c r="B23" s="6">
        <v>1</v>
      </c>
      <c r="D23" s="114" t="str">
        <f>CONCATENATE("0-",VLOOKUP(CONCATENATE(VLOOKUP(A23,TEAMS,2,FALSE),TEXT(B23,"00")),PLAYERS,$D$1,FALSE),IF(VLOOKUP(CONCATENATE(VLOOKUP(A23,TEAMS,2,FALSE),TEXT(B23,"00")),PLAYERS,$D$1+1,FALSE)="BG"," *",""))</f>
        <v>0-16</v>
      </c>
      <c r="E23" s="115" t="str">
        <f>VLOOKUP(CONCATENATE(VLOOKUP(A23,TEAMS,2,FALSE),TEXT($B23,"00")),PLAYERS,E$1,FALSE)</f>
        <v>Beastman Runner Lineman</v>
      </c>
      <c r="F23" s="113">
        <f>VLOOKUP(CONCATENATE(VLOOKUP(A23,TEAMS,2,FALSE),TEXT($B23,"00")),PLAYERS,F$1,FALSE)</f>
        <v>6</v>
      </c>
      <c r="G23" s="113">
        <f>VLOOKUP(CONCATENATE(VLOOKUP(A23,TEAMS,2,FALSE),TEXT($B23,"00")),PLAYERS,G$1,FALSE)</f>
        <v>3</v>
      </c>
      <c r="H23" s="113" t="str">
        <f>CONCATENATE(VLOOKUP(CONCATENATE(VLOOKUP(A23,TEAMS,2,FALSE),TEXT($B23,"00")),PLAYERS,H$1,FALSE),"+")</f>
        <v>3+</v>
      </c>
      <c r="I23" s="113" t="str">
        <f>CONCATENATE(VLOOKUP(CONCATENATE(VLOOKUP(A23,TEAMS,2,FALSE),TEXT($B23,"00")),PLAYERS,I$1,FALSE),IF(VLOOKUP(CONCATENATE(VLOOKUP(A23,TEAMS,2,FALSE),TEXT($B23,"00")),PLAYERS,I$1,FALSE)="-","","+"))</f>
        <v>4+</v>
      </c>
      <c r="J23" s="113" t="str">
        <f>CONCATENATE(VLOOKUP(CONCATENATE(VLOOKUP(A23,TEAMS,2,FALSE),TEXT($B23,"00")),PLAYERS,J$1,FALSE),"+")</f>
        <v>9+</v>
      </c>
      <c r="K23" s="115" t="str">
        <f>VLOOKUP(CONCATENATE(VLOOKUP(A23,TEAMS,2,FALSE),TEXT($B23,"00")),PLAYERS,K$1,FALSE)</f>
        <v>Horns</v>
      </c>
      <c r="L23" s="114" t="str">
        <f>VLOOKUP(CONCATENATE(VLOOKUP(A23,TEAMS,2,FALSE),TEXT($B23,"00")),PLAYERS,L$1,FALSE)</f>
        <v>GMS</v>
      </c>
      <c r="M23" s="114" t="str">
        <f>VLOOKUP(CONCATENATE(VLOOKUP(A23,TEAMS,2,FALSE),TEXT($B23,"00")),PLAYERS,M$1,FALSE)</f>
        <v>AP</v>
      </c>
      <c r="N23" s="113" t="str">
        <f>CONCATENATE(ABS(VLOOKUP(CONCATENATE(VLOOKUP(A23,TEAMS,2,FALSE),TEXT(B23,"00")),PLAYERS,5,FALSE)),"k")</f>
        <v>60k</v>
      </c>
    </row>
    <row r="24" spans="1:14" x14ac:dyDescent="0.25">
      <c r="A24" s="6" t="s">
        <v>94</v>
      </c>
      <c r="B24" s="6">
        <v>2</v>
      </c>
      <c r="D24" s="114" t="str">
        <f>CONCATENATE("0-",VLOOKUP(CONCATENATE(VLOOKUP(A24,TEAMS,2,FALSE),TEXT(B24,"00")),PLAYERS,$D$1,FALSE),IF(VLOOKUP(CONCATENATE(VLOOKUP(A24,TEAMS,2,FALSE),TEXT(B24,"00")),PLAYERS,$D$1+1,FALSE)="BG"," *",""))</f>
        <v>0-4</v>
      </c>
      <c r="E24" s="114" t="str">
        <f>VLOOKUP(CONCATENATE(VLOOKUP(A24,TEAMS,2,FALSE),TEXT($B24,"00")),PLAYERS,E$1,FALSE)</f>
        <v>Chosen Blocker</v>
      </c>
      <c r="F24" s="113">
        <f>VLOOKUP(CONCATENATE(VLOOKUP(A24,TEAMS,2,FALSE),TEXT($B24,"00")),PLAYERS,F$1,FALSE)</f>
        <v>5</v>
      </c>
      <c r="G24" s="113">
        <f>VLOOKUP(CONCATENATE(VLOOKUP(A24,TEAMS,2,FALSE),TEXT($B24,"00")),PLAYERS,G$1,FALSE)</f>
        <v>4</v>
      </c>
      <c r="H24" s="113" t="str">
        <f>CONCATENATE(VLOOKUP(CONCATENATE(VLOOKUP(A24,TEAMS,2,FALSE),TEXT($B24,"00")),PLAYERS,H$1,FALSE),"+")</f>
        <v>3+</v>
      </c>
      <c r="I24" s="113" t="str">
        <f>CONCATENATE(VLOOKUP(CONCATENATE(VLOOKUP(A24,TEAMS,2,FALSE),TEXT($B24,"00")),PLAYERS,I$1,FALSE),IF(VLOOKUP(CONCATENATE(VLOOKUP(A24,TEAMS,2,FALSE),TEXT($B24,"00")),PLAYERS,I$1,FALSE)="-","","+"))</f>
        <v>5+</v>
      </c>
      <c r="J24" s="113" t="str">
        <f>CONCATENATE(VLOOKUP(CONCATENATE(VLOOKUP(A24,TEAMS,2,FALSE),TEXT($B24,"00")),PLAYERS,J$1,FALSE),"+")</f>
        <v>10+</v>
      </c>
      <c r="K24" s="115" t="str">
        <f>VLOOKUP(CONCATENATE(VLOOKUP(A24,TEAMS,2,FALSE),TEXT($B24,"00")),PLAYERS,K$1,FALSE)</f>
        <v>None</v>
      </c>
      <c r="L24" s="114" t="str">
        <f>VLOOKUP(CONCATENATE(VLOOKUP(A24,TEAMS,2,FALSE),TEXT($B24,"00")),PLAYERS,L$1,FALSE)</f>
        <v>GMS</v>
      </c>
      <c r="M24" s="114" t="str">
        <f>VLOOKUP(CONCATENATE(VLOOKUP(A24,TEAMS,2,FALSE),TEXT($B24,"00")),PLAYERS,M$1,FALSE)</f>
        <v>A</v>
      </c>
      <c r="N24" s="113" t="str">
        <f>CONCATENATE(ABS(VLOOKUP(CONCATENATE(VLOOKUP(A24,TEAMS,2,FALSE),TEXT(B24,"00")),PLAYERS,5,FALSE)),"k")</f>
        <v>100k</v>
      </c>
    </row>
    <row r="25" spans="1:14" ht="45" x14ac:dyDescent="0.25">
      <c r="A25" s="6" t="s">
        <v>94</v>
      </c>
      <c r="B25" s="6">
        <v>3</v>
      </c>
      <c r="D25" s="114" t="str">
        <f>CONCATENATE("0-",VLOOKUP(CONCATENATE(VLOOKUP(A25,TEAMS,2,FALSE),TEXT(B25,"00")),PLAYERS,$D$1,FALSE),IF(VLOOKUP(CONCATENATE(VLOOKUP(A25,TEAMS,2,FALSE),TEXT(B25,"00")),PLAYERS,$D$1+1,FALSE)="BG"," *",""))</f>
        <v>0-1 *</v>
      </c>
      <c r="E25" s="114" t="str">
        <f>VLOOKUP(CONCATENATE(VLOOKUP(A25,TEAMS,2,FALSE),TEXT($B25,"00")),PLAYERS,E$1,FALSE)</f>
        <v>Chaos Troll</v>
      </c>
      <c r="F25" s="113">
        <f>VLOOKUP(CONCATENATE(VLOOKUP(A25,TEAMS,2,FALSE),TEXT($B25,"00")),PLAYERS,F$1,FALSE)</f>
        <v>4</v>
      </c>
      <c r="G25" s="113">
        <f>VLOOKUP(CONCATENATE(VLOOKUP(A25,TEAMS,2,FALSE),TEXT($B25,"00")),PLAYERS,G$1,FALSE)</f>
        <v>5</v>
      </c>
      <c r="H25" s="113" t="str">
        <f>CONCATENATE(VLOOKUP(CONCATENATE(VLOOKUP(A25,TEAMS,2,FALSE),TEXT($B25,"00")),PLAYERS,H$1,FALSE),"+")</f>
        <v>5+</v>
      </c>
      <c r="I25" s="113" t="str">
        <f>CONCATENATE(VLOOKUP(CONCATENATE(VLOOKUP(A25,TEAMS,2,FALSE),TEXT($B25,"00")),PLAYERS,I$1,FALSE),IF(VLOOKUP(CONCATENATE(VLOOKUP(A25,TEAMS,2,FALSE),TEXT($B25,"00")),PLAYERS,I$1,FALSE)="-","","+"))</f>
        <v>5+</v>
      </c>
      <c r="J25" s="113" t="str">
        <f>CONCATENATE(VLOOKUP(CONCATENATE(VLOOKUP(A25,TEAMS,2,FALSE),TEXT($B25,"00")),PLAYERS,J$1,FALSE),"+")</f>
        <v>10+</v>
      </c>
      <c r="K25" s="115" t="str">
        <f>VLOOKUP(CONCATENATE(VLOOKUP(A25,TEAMS,2,FALSE),TEXT($B25,"00")),PLAYERS,K$1,FALSE)</f>
        <v>Always Hungry*, Loner (4+)*, Mighty Blow (+1), Projectile Vomit, Really Stupid*, Regeneration, Throw Team-mate</v>
      </c>
      <c r="L25" s="114" t="str">
        <f>VLOOKUP(CONCATENATE(VLOOKUP(A25,TEAMS,2,FALSE),TEXT($B25,"00")),PLAYERS,L$1,FALSE)</f>
        <v>MS</v>
      </c>
      <c r="M25" s="114" t="str">
        <f>VLOOKUP(CONCATENATE(VLOOKUP(A25,TEAMS,2,FALSE),TEXT($B25,"00")),PLAYERS,M$1,FALSE)</f>
        <v>AG</v>
      </c>
      <c r="N25" s="113" t="str">
        <f>CONCATENATE(ABS(VLOOKUP(CONCATENATE(VLOOKUP(A25,TEAMS,2,FALSE),TEXT(B25,"00")),PLAYERS,5,FALSE)),"k")</f>
        <v>115k</v>
      </c>
    </row>
    <row r="26" spans="1:14" ht="30" x14ac:dyDescent="0.25">
      <c r="A26" s="6" t="s">
        <v>94</v>
      </c>
      <c r="B26" s="6">
        <v>4</v>
      </c>
      <c r="D26" s="114" t="str">
        <f>CONCATENATE("0-",VLOOKUP(CONCATENATE(VLOOKUP(A26,TEAMS,2,FALSE),TEXT(B26,"00")),PLAYERS,$D$1,FALSE),IF(VLOOKUP(CONCATENATE(VLOOKUP(A26,TEAMS,2,FALSE),TEXT(B26,"00")),PLAYERS,$D$1+1,FALSE)="BG"," *",""))</f>
        <v>0-1 *</v>
      </c>
      <c r="E26" s="114" t="str">
        <f>VLOOKUP(CONCATENATE(VLOOKUP(A26,TEAMS,2,FALSE),TEXT($B26,"00")),PLAYERS,E$1,FALSE)</f>
        <v>Chaos Ogre</v>
      </c>
      <c r="F26" s="113">
        <f>VLOOKUP(CONCATENATE(VLOOKUP(A26,TEAMS,2,FALSE),TEXT($B26,"00")),PLAYERS,F$1,FALSE)</f>
        <v>5</v>
      </c>
      <c r="G26" s="113">
        <f>VLOOKUP(CONCATENATE(VLOOKUP(A26,TEAMS,2,FALSE),TEXT($B26,"00")),PLAYERS,G$1,FALSE)</f>
        <v>5</v>
      </c>
      <c r="H26" s="113" t="str">
        <f>CONCATENATE(VLOOKUP(CONCATENATE(VLOOKUP(A26,TEAMS,2,FALSE),TEXT($B26,"00")),PLAYERS,H$1,FALSE),"+")</f>
        <v>4+</v>
      </c>
      <c r="I26" s="113" t="str">
        <f>CONCATENATE(VLOOKUP(CONCATENATE(VLOOKUP(A26,TEAMS,2,FALSE),TEXT($B26,"00")),PLAYERS,I$1,FALSE),IF(VLOOKUP(CONCATENATE(VLOOKUP(A26,TEAMS,2,FALSE),TEXT($B26,"00")),PLAYERS,I$1,FALSE)="-","","+"))</f>
        <v>5+</v>
      </c>
      <c r="J26" s="113" t="str">
        <f>CONCATENATE(VLOOKUP(CONCATENATE(VLOOKUP(A26,TEAMS,2,FALSE),TEXT($B26,"00")),PLAYERS,J$1,FALSE),"+")</f>
        <v>10+</v>
      </c>
      <c r="K26" s="115" t="str">
        <f>VLOOKUP(CONCATENATE(VLOOKUP(A26,TEAMS,2,FALSE),TEXT($B26,"00")),PLAYERS,K$1,FALSE)</f>
        <v>Bone Head*, Loner (4+)*, Mighty Blow (+1), Thick Skull, Throw Team-mate</v>
      </c>
      <c r="L26" s="114" t="str">
        <f>VLOOKUP(CONCATENATE(VLOOKUP(A26,TEAMS,2,FALSE),TEXT($B26,"00")),PLAYERS,L$1,FALSE)</f>
        <v>MS</v>
      </c>
      <c r="M26" s="114" t="str">
        <f>VLOOKUP(CONCATENATE(VLOOKUP(A26,TEAMS,2,FALSE),TEXT($B26,"00")),PLAYERS,M$1,FALSE)</f>
        <v>AG</v>
      </c>
      <c r="N26" s="113" t="str">
        <f>CONCATENATE(ABS(VLOOKUP(CONCATENATE(VLOOKUP(A26,TEAMS,2,FALSE),TEXT(B26,"00")),PLAYERS,5,FALSE)),"k")</f>
        <v>140k</v>
      </c>
    </row>
    <row r="27" spans="1:14" ht="30" x14ac:dyDescent="0.25">
      <c r="A27" s="6" t="s">
        <v>94</v>
      </c>
      <c r="B27" s="6">
        <v>5</v>
      </c>
      <c r="D27" s="114" t="str">
        <f>CONCATENATE("0-",VLOOKUP(CONCATENATE(VLOOKUP(A27,TEAMS,2,FALSE),TEXT(B27,"00")),PLAYERS,$D$1,FALSE),IF(VLOOKUP(CONCATENATE(VLOOKUP(A27,TEAMS,2,FALSE),TEXT(B27,"00")),PLAYERS,$D$1+1,FALSE)="BG"," *",""))</f>
        <v>0-1 *</v>
      </c>
      <c r="E27" s="114" t="str">
        <f>VLOOKUP(CONCATENATE(VLOOKUP(A27,TEAMS,2,FALSE),TEXT($B27,"00")),PLAYERS,E$1,FALSE)</f>
        <v>Minotaur</v>
      </c>
      <c r="F27" s="113">
        <f>VLOOKUP(CONCATENATE(VLOOKUP(A27,TEAMS,2,FALSE),TEXT($B27,"00")),PLAYERS,F$1,FALSE)</f>
        <v>5</v>
      </c>
      <c r="G27" s="113">
        <f>VLOOKUP(CONCATENATE(VLOOKUP(A27,TEAMS,2,FALSE),TEXT($B27,"00")),PLAYERS,G$1,FALSE)</f>
        <v>5</v>
      </c>
      <c r="H27" s="113" t="str">
        <f>CONCATENATE(VLOOKUP(CONCATENATE(VLOOKUP(A27,TEAMS,2,FALSE),TEXT($B27,"00")),PLAYERS,H$1,FALSE),"+")</f>
        <v>4+</v>
      </c>
      <c r="I27" s="113" t="str">
        <f>CONCATENATE(VLOOKUP(CONCATENATE(VLOOKUP(A27,TEAMS,2,FALSE),TEXT($B27,"00")),PLAYERS,I$1,FALSE),IF(VLOOKUP(CONCATENATE(VLOOKUP(A27,TEAMS,2,FALSE),TEXT($B27,"00")),PLAYERS,I$1,FALSE)="-","","+"))</f>
        <v>-</v>
      </c>
      <c r="J27" s="113" t="str">
        <f>CONCATENATE(VLOOKUP(CONCATENATE(VLOOKUP(A27,TEAMS,2,FALSE),TEXT($B27,"00")),PLAYERS,J$1,FALSE),"+")</f>
        <v>9+</v>
      </c>
      <c r="K27" s="115" t="str">
        <f>VLOOKUP(CONCATENATE(VLOOKUP(A27,TEAMS,2,FALSE),TEXT($B27,"00")),PLAYERS,K$1,FALSE)</f>
        <v>Loner (4+)*, Frenzy*, Horns, Mighty Blow (+1), Thick Skull, Unchannelled Fury*</v>
      </c>
      <c r="L27" s="114" t="str">
        <f>VLOOKUP(CONCATENATE(VLOOKUP(A27,TEAMS,2,FALSE),TEXT($B27,"00")),PLAYERS,L$1,FALSE)</f>
        <v>MS</v>
      </c>
      <c r="M27" s="114" t="str">
        <f>VLOOKUP(CONCATENATE(VLOOKUP(A27,TEAMS,2,FALSE),TEXT($B27,"00")),PLAYERS,M$1,FALSE)</f>
        <v>AG</v>
      </c>
      <c r="N27" s="113" t="str">
        <f>CONCATENATE(ABS(VLOOKUP(CONCATENATE(VLOOKUP(A27,TEAMS,2,FALSE),TEXT(B27,"00")),PLAYERS,5,FALSE)),"k")</f>
        <v>150k</v>
      </c>
    </row>
    <row r="28" spans="1:14" x14ac:dyDescent="0.25">
      <c r="D28" s="64" t="s">
        <v>676</v>
      </c>
      <c r="E28" s="64" t="str">
        <f>CONCATENATE(VLOOKUP(A21,TEAMS,5,FALSE),"k")</f>
        <v>60k</v>
      </c>
      <c r="F28" s="460" t="s">
        <v>680</v>
      </c>
      <c r="G28" s="460"/>
      <c r="H28" s="460"/>
      <c r="I28" s="460"/>
      <c r="J28" s="113" t="str">
        <f>VLOOKUP(A21,TEAMS,6,FALSE)</f>
        <v>Yes</v>
      </c>
      <c r="K28" s="461" t="s">
        <v>681</v>
      </c>
      <c r="L28" s="461"/>
      <c r="M28" s="461"/>
      <c r="N28" s="116">
        <f>VLOOKUP(A21,TEAMS,8,FALSE)</f>
        <v>3</v>
      </c>
    </row>
    <row r="29" spans="1:14" ht="15" customHeight="1" x14ac:dyDescent="0.25">
      <c r="D29" s="460" t="s">
        <v>682</v>
      </c>
      <c r="E29" s="460"/>
      <c r="F29" s="462" t="str">
        <f>IFERROR(VLOOKUP(LEFT(VLOOKUP(A23,TEAMS,7,FALSE),3),SpecialRules,3,FALSE) &amp; VLOOKUP(MID(VLOOKUP(A23,TEAMS,7,FALSE),4,3),SpecialRules,3,FALSE),"")</f>
        <v/>
      </c>
      <c r="G29" s="462"/>
      <c r="H29" s="462"/>
      <c r="I29" s="462"/>
      <c r="J29" s="462"/>
      <c r="K29" s="462"/>
      <c r="L29" s="462"/>
      <c r="M29" s="462"/>
      <c r="N29" s="462"/>
    </row>
    <row r="30" spans="1:14" x14ac:dyDescent="0.25">
      <c r="D30" s="465" t="s">
        <v>684</v>
      </c>
      <c r="E30" s="465"/>
      <c r="F30" s="465"/>
      <c r="G30" s="465"/>
      <c r="H30" s="465"/>
      <c r="I30" s="465"/>
      <c r="J30" s="465"/>
      <c r="K30" s="465"/>
      <c r="L30" s="465"/>
      <c r="M30" s="465"/>
      <c r="N30" s="465"/>
    </row>
    <row r="31" spans="1:14" x14ac:dyDescent="0.25">
      <c r="D31" s="439"/>
      <c r="E31" s="439"/>
      <c r="F31" s="439"/>
      <c r="G31" s="439"/>
      <c r="H31" s="439"/>
      <c r="I31" s="439"/>
      <c r="J31" s="439"/>
      <c r="K31" s="439"/>
      <c r="L31" s="439"/>
      <c r="M31" s="439"/>
      <c r="N31" s="439"/>
    </row>
    <row r="32" spans="1:14" ht="21" x14ac:dyDescent="0.35">
      <c r="A32" s="6" t="s">
        <v>96</v>
      </c>
      <c r="B32" s="6">
        <v>10</v>
      </c>
      <c r="D32" s="459" t="str">
        <f>A32</f>
        <v>Chaos Renegade</v>
      </c>
      <c r="E32" s="459"/>
      <c r="F32" s="459"/>
      <c r="G32" s="459"/>
      <c r="H32" s="459"/>
      <c r="I32" s="459"/>
      <c r="J32" s="459"/>
      <c r="K32" s="459"/>
      <c r="L32" s="459"/>
      <c r="M32" s="459"/>
      <c r="N32" s="459"/>
    </row>
    <row r="33" spans="1:14" x14ac:dyDescent="0.25">
      <c r="A33" s="6" t="s">
        <v>96</v>
      </c>
      <c r="D33" s="64" t="s">
        <v>952</v>
      </c>
      <c r="E33" s="64" t="s">
        <v>4</v>
      </c>
      <c r="F33" s="113" t="s">
        <v>5</v>
      </c>
      <c r="G33" s="113" t="s">
        <v>6</v>
      </c>
      <c r="H33" s="113" t="s">
        <v>7</v>
      </c>
      <c r="I33" s="113" t="s">
        <v>8</v>
      </c>
      <c r="J33" s="113" t="s">
        <v>9</v>
      </c>
      <c r="K33" s="64" t="s">
        <v>662</v>
      </c>
      <c r="L33" s="64" t="s">
        <v>674</v>
      </c>
      <c r="M33" s="64" t="s">
        <v>675</v>
      </c>
      <c r="N33" s="116" t="s">
        <v>879</v>
      </c>
    </row>
    <row r="34" spans="1:14" ht="30" x14ac:dyDescent="0.25">
      <c r="A34" s="6" t="s">
        <v>96</v>
      </c>
      <c r="B34" s="6">
        <v>1</v>
      </c>
      <c r="D34" s="114" t="str">
        <f t="shared" ref="D34:D43" si="0">CONCATENATE("0-",VLOOKUP(CONCATENATE(VLOOKUP(A34,TEAMS,2,FALSE),TEXT(B34,"00")),PLAYERS,$D$1,FALSE),IF(VLOOKUP(CONCATENATE(VLOOKUP(A34,TEAMS,2,FALSE),TEXT(B34,"00")),PLAYERS,$D$1+1,FALSE)="BG"," *",""))</f>
        <v>0-12</v>
      </c>
      <c r="E34" s="115" t="str">
        <f t="shared" ref="E34:E43" si="1">VLOOKUP(CONCATENATE(VLOOKUP(A34,TEAMS,2,FALSE),TEXT($B34,"00")),PLAYERS,E$1,FALSE)</f>
        <v>Renegade Human Lineman</v>
      </c>
      <c r="F34" s="113">
        <f t="shared" ref="F34:F43" si="2">VLOOKUP(CONCATENATE(VLOOKUP(A34,TEAMS,2,FALSE),TEXT($B34,"00")),PLAYERS,F$1,FALSE)</f>
        <v>6</v>
      </c>
      <c r="G34" s="113">
        <f t="shared" ref="G34:G43" si="3">VLOOKUP(CONCATENATE(VLOOKUP(A34,TEAMS,2,FALSE),TEXT($B34,"00")),PLAYERS,G$1,FALSE)</f>
        <v>3</v>
      </c>
      <c r="H34" s="113" t="str">
        <f t="shared" ref="H34:H43" si="4">CONCATENATE(VLOOKUP(CONCATENATE(VLOOKUP(A34,TEAMS,2,FALSE),TEXT($B34,"00")),PLAYERS,H$1,FALSE),"+")</f>
        <v>3+</v>
      </c>
      <c r="I34" s="113" t="str">
        <f t="shared" ref="I34:I43" si="5">CONCATENATE(VLOOKUP(CONCATENATE(VLOOKUP(A34,TEAMS,2,FALSE),TEXT($B34,"00")),PLAYERS,I$1,FALSE),IF(VLOOKUP(CONCATENATE(VLOOKUP(A34,TEAMS,2,FALSE),TEXT($B34,"00")),PLAYERS,I$1,FALSE)="-","","+"))</f>
        <v>4+</v>
      </c>
      <c r="J34" s="113" t="str">
        <f t="shared" ref="J34:J43" si="6">CONCATENATE(VLOOKUP(CONCATENATE(VLOOKUP(A34,TEAMS,2,FALSE),TEXT($B34,"00")),PLAYERS,J$1,FALSE),"+")</f>
        <v>9+</v>
      </c>
      <c r="K34" s="115" t="str">
        <f t="shared" ref="K34:K43" si="7">VLOOKUP(CONCATENATE(VLOOKUP(A34,TEAMS,2,FALSE),TEXT($B34,"00")),PLAYERS,K$1,FALSE)</f>
        <v>None</v>
      </c>
      <c r="L34" s="114" t="str">
        <f t="shared" ref="L34:L43" si="8">VLOOKUP(CONCATENATE(VLOOKUP(A34,TEAMS,2,FALSE),TEXT($B34,"00")),PLAYERS,L$1,FALSE)</f>
        <v>GM</v>
      </c>
      <c r="M34" s="114" t="str">
        <f t="shared" ref="M34:M43" si="9">VLOOKUP(CONCATENATE(VLOOKUP(A34,TEAMS,2,FALSE),TEXT($B34,"00")),PLAYERS,M$1,FALSE)</f>
        <v>AS</v>
      </c>
      <c r="N34" s="113" t="str">
        <f t="shared" ref="N34:N43" si="10">CONCATENATE(ABS(VLOOKUP(CONCATENATE(VLOOKUP(A34,TEAMS,2,FALSE),TEXT(B34,"00")),PLAYERS,5,FALSE)),"k")</f>
        <v>50k</v>
      </c>
    </row>
    <row r="35" spans="1:14" ht="30" x14ac:dyDescent="0.25">
      <c r="A35" s="6" t="s">
        <v>96</v>
      </c>
      <c r="B35" s="6">
        <v>2</v>
      </c>
      <c r="D35" s="114" t="str">
        <f t="shared" si="0"/>
        <v>0-1</v>
      </c>
      <c r="E35" s="115" t="str">
        <f t="shared" si="1"/>
        <v>Renegade Human Thrower</v>
      </c>
      <c r="F35" s="113">
        <f t="shared" si="2"/>
        <v>6</v>
      </c>
      <c r="G35" s="113">
        <f t="shared" si="3"/>
        <v>3</v>
      </c>
      <c r="H35" s="113" t="str">
        <f t="shared" si="4"/>
        <v>3+</v>
      </c>
      <c r="I35" s="113" t="str">
        <f t="shared" si="5"/>
        <v>3+</v>
      </c>
      <c r="J35" s="113" t="str">
        <f t="shared" si="6"/>
        <v>9+</v>
      </c>
      <c r="K35" s="115" t="str">
        <f t="shared" si="7"/>
        <v>Animosity (all)*, Pass, Safe Pair of Hands</v>
      </c>
      <c r="L35" s="114" t="str">
        <f t="shared" si="8"/>
        <v>GMP</v>
      </c>
      <c r="M35" s="114" t="str">
        <f t="shared" si="9"/>
        <v>AS</v>
      </c>
      <c r="N35" s="113" t="str">
        <f t="shared" si="10"/>
        <v>75k</v>
      </c>
    </row>
    <row r="36" spans="1:14" x14ac:dyDescent="0.25">
      <c r="A36" s="6" t="s">
        <v>96</v>
      </c>
      <c r="B36" s="6">
        <v>3</v>
      </c>
      <c r="D36" s="114" t="str">
        <f t="shared" si="0"/>
        <v>0-1</v>
      </c>
      <c r="E36" s="115" t="str">
        <f t="shared" si="1"/>
        <v>Renegade Goblin</v>
      </c>
      <c r="F36" s="113">
        <f t="shared" si="2"/>
        <v>6</v>
      </c>
      <c r="G36" s="113">
        <f t="shared" si="3"/>
        <v>2</v>
      </c>
      <c r="H36" s="113" t="str">
        <f t="shared" si="4"/>
        <v>3+</v>
      </c>
      <c r="I36" s="113" t="str">
        <f t="shared" si="5"/>
        <v>4+</v>
      </c>
      <c r="J36" s="113" t="str">
        <f t="shared" si="6"/>
        <v>8+</v>
      </c>
      <c r="K36" s="115" t="str">
        <f t="shared" si="7"/>
        <v>Animosity (all)*, Dodge, Right Stuff*, Stunty*</v>
      </c>
      <c r="L36" s="114" t="str">
        <f t="shared" si="8"/>
        <v>AM</v>
      </c>
      <c r="M36" s="114" t="str">
        <f t="shared" si="9"/>
        <v>GP</v>
      </c>
      <c r="N36" s="113" t="str">
        <f t="shared" si="10"/>
        <v>40k</v>
      </c>
    </row>
    <row r="37" spans="1:14" x14ac:dyDescent="0.25">
      <c r="A37" s="6" t="s">
        <v>96</v>
      </c>
      <c r="B37" s="6">
        <v>4</v>
      </c>
      <c r="D37" s="114" t="str">
        <f t="shared" si="0"/>
        <v>0-1</v>
      </c>
      <c r="E37" s="115" t="str">
        <f t="shared" si="1"/>
        <v>Renegade Orc</v>
      </c>
      <c r="F37" s="113">
        <f t="shared" si="2"/>
        <v>5</v>
      </c>
      <c r="G37" s="113">
        <f t="shared" si="3"/>
        <v>3</v>
      </c>
      <c r="H37" s="113" t="str">
        <f t="shared" si="4"/>
        <v>3+</v>
      </c>
      <c r="I37" s="113" t="str">
        <f t="shared" si="5"/>
        <v>5+</v>
      </c>
      <c r="J37" s="113" t="str">
        <f t="shared" si="6"/>
        <v>10+</v>
      </c>
      <c r="K37" s="115" t="str">
        <f t="shared" si="7"/>
        <v>Animosity (all)*</v>
      </c>
      <c r="L37" s="114" t="str">
        <f t="shared" si="8"/>
        <v>GM</v>
      </c>
      <c r="M37" s="114" t="str">
        <f t="shared" si="9"/>
        <v>AS</v>
      </c>
      <c r="N37" s="113" t="str">
        <f t="shared" si="10"/>
        <v>50k</v>
      </c>
    </row>
    <row r="38" spans="1:14" x14ac:dyDescent="0.25">
      <c r="A38" s="6" t="s">
        <v>96</v>
      </c>
      <c r="B38" s="6">
        <v>5</v>
      </c>
      <c r="D38" s="114" t="str">
        <f t="shared" si="0"/>
        <v>0-1</v>
      </c>
      <c r="E38" s="115" t="str">
        <f t="shared" si="1"/>
        <v>Renegade Skaven</v>
      </c>
      <c r="F38" s="113">
        <f t="shared" si="2"/>
        <v>7</v>
      </c>
      <c r="G38" s="113">
        <f t="shared" si="3"/>
        <v>3</v>
      </c>
      <c r="H38" s="113" t="str">
        <f t="shared" si="4"/>
        <v>3+</v>
      </c>
      <c r="I38" s="113" t="str">
        <f t="shared" si="5"/>
        <v>4+</v>
      </c>
      <c r="J38" s="113" t="str">
        <f t="shared" si="6"/>
        <v>8+</v>
      </c>
      <c r="K38" s="115" t="str">
        <f t="shared" si="7"/>
        <v>Animosity (all)*</v>
      </c>
      <c r="L38" s="114" t="str">
        <f t="shared" si="8"/>
        <v>GM</v>
      </c>
      <c r="M38" s="114" t="str">
        <f t="shared" si="9"/>
        <v>AS</v>
      </c>
      <c r="N38" s="113" t="str">
        <f t="shared" si="10"/>
        <v>50k</v>
      </c>
    </row>
    <row r="39" spans="1:14" x14ac:dyDescent="0.25">
      <c r="A39" s="6" t="s">
        <v>96</v>
      </c>
      <c r="B39" s="6">
        <v>6</v>
      </c>
      <c r="D39" s="114" t="str">
        <f t="shared" si="0"/>
        <v>0-1</v>
      </c>
      <c r="E39" s="115" t="str">
        <f t="shared" si="1"/>
        <v>Renegade Dark Elf</v>
      </c>
      <c r="F39" s="113">
        <f t="shared" si="2"/>
        <v>6</v>
      </c>
      <c r="G39" s="113">
        <f t="shared" si="3"/>
        <v>3</v>
      </c>
      <c r="H39" s="113" t="str">
        <f t="shared" si="4"/>
        <v>2+</v>
      </c>
      <c r="I39" s="113" t="str">
        <f t="shared" si="5"/>
        <v>3+</v>
      </c>
      <c r="J39" s="113" t="str">
        <f t="shared" si="6"/>
        <v>9+</v>
      </c>
      <c r="K39" s="115" t="str">
        <f t="shared" si="7"/>
        <v>Animosity (all)*</v>
      </c>
      <c r="L39" s="114" t="str">
        <f t="shared" si="8"/>
        <v>AGM</v>
      </c>
      <c r="M39" s="114" t="str">
        <f t="shared" si="9"/>
        <v>PS</v>
      </c>
      <c r="N39" s="113" t="str">
        <f t="shared" si="10"/>
        <v>75k</v>
      </c>
    </row>
    <row r="40" spans="1:14" ht="45" x14ac:dyDescent="0.25">
      <c r="A40" s="6" t="s">
        <v>96</v>
      </c>
      <c r="B40" s="6">
        <v>7</v>
      </c>
      <c r="D40" s="114" t="str">
        <f t="shared" si="0"/>
        <v>0-1 *</v>
      </c>
      <c r="E40" s="115" t="str">
        <f t="shared" si="1"/>
        <v>Renegade Troll</v>
      </c>
      <c r="F40" s="113">
        <f t="shared" si="2"/>
        <v>4</v>
      </c>
      <c r="G40" s="113">
        <f t="shared" si="3"/>
        <v>5</v>
      </c>
      <c r="H40" s="113" t="str">
        <f t="shared" si="4"/>
        <v>5+</v>
      </c>
      <c r="I40" s="113" t="str">
        <f t="shared" si="5"/>
        <v>5+</v>
      </c>
      <c r="J40" s="113" t="str">
        <f t="shared" si="6"/>
        <v>10+</v>
      </c>
      <c r="K40" s="115" t="str">
        <f t="shared" si="7"/>
        <v>Always Hungry*, Loner (4+)*, Mighty Blow (+1), Projectile Vomit, Really Stupid*, Regeneration, Throw Team-mate</v>
      </c>
      <c r="L40" s="114" t="str">
        <f t="shared" si="8"/>
        <v>S</v>
      </c>
      <c r="M40" s="114" t="str">
        <f t="shared" si="9"/>
        <v>AGM</v>
      </c>
      <c r="N40" s="113" t="str">
        <f t="shared" si="10"/>
        <v>115k</v>
      </c>
    </row>
    <row r="41" spans="1:14" ht="30" x14ac:dyDescent="0.25">
      <c r="A41" s="6" t="s">
        <v>96</v>
      </c>
      <c r="B41" s="6">
        <v>8</v>
      </c>
      <c r="D41" s="114" t="str">
        <f t="shared" si="0"/>
        <v>0-1 *</v>
      </c>
      <c r="E41" s="115" t="str">
        <f t="shared" si="1"/>
        <v>Renegade Ogre</v>
      </c>
      <c r="F41" s="113">
        <f t="shared" si="2"/>
        <v>5</v>
      </c>
      <c r="G41" s="113">
        <f t="shared" si="3"/>
        <v>5</v>
      </c>
      <c r="H41" s="113" t="str">
        <f t="shared" si="4"/>
        <v>4+</v>
      </c>
      <c r="I41" s="113" t="str">
        <f t="shared" si="5"/>
        <v>5+</v>
      </c>
      <c r="J41" s="113" t="str">
        <f t="shared" si="6"/>
        <v>10+</v>
      </c>
      <c r="K41" s="115" t="str">
        <f t="shared" si="7"/>
        <v>Bone Head*, Loner (4+)*, Mighty Blow (+1), Thick Skull, Throw Team-mate</v>
      </c>
      <c r="L41" s="114" t="str">
        <f t="shared" si="8"/>
        <v>S</v>
      </c>
      <c r="M41" s="114" t="str">
        <f t="shared" si="9"/>
        <v>AGM</v>
      </c>
      <c r="N41" s="113" t="str">
        <f t="shared" si="10"/>
        <v>140k</v>
      </c>
    </row>
    <row r="42" spans="1:14" x14ac:dyDescent="0.25">
      <c r="A42" s="6" t="s">
        <v>96</v>
      </c>
      <c r="B42" s="6">
        <v>9</v>
      </c>
      <c r="D42" s="114" t="str">
        <f t="shared" si="0"/>
        <v>0-1 *</v>
      </c>
      <c r="E42" s="115" t="str">
        <f t="shared" si="1"/>
        <v>Renegade Minotaur</v>
      </c>
      <c r="F42" s="113">
        <f t="shared" si="2"/>
        <v>5</v>
      </c>
      <c r="G42" s="113">
        <f t="shared" si="3"/>
        <v>5</v>
      </c>
      <c r="H42" s="113" t="str">
        <f t="shared" si="4"/>
        <v>4+</v>
      </c>
      <c r="I42" s="113" t="str">
        <f t="shared" si="5"/>
        <v>-</v>
      </c>
      <c r="J42" s="113" t="str">
        <f t="shared" si="6"/>
        <v>9+</v>
      </c>
      <c r="K42" s="115" t="str">
        <f t="shared" si="7"/>
        <v>Loner (4+)*, Frenzy*, Horns, Mighty Blow (+1), Thick Skull, Unchannelled Fury*</v>
      </c>
      <c r="L42" s="114" t="str">
        <f t="shared" si="8"/>
        <v>S</v>
      </c>
      <c r="M42" s="114" t="str">
        <f t="shared" si="9"/>
        <v>AGM</v>
      </c>
      <c r="N42" s="113" t="str">
        <f t="shared" si="10"/>
        <v>150k</v>
      </c>
    </row>
    <row r="43" spans="1:14" ht="30" x14ac:dyDescent="0.25">
      <c r="A43" s="6" t="s">
        <v>96</v>
      </c>
      <c r="B43" s="6">
        <v>10</v>
      </c>
      <c r="D43" s="114" t="str">
        <f t="shared" si="0"/>
        <v>0-1 *</v>
      </c>
      <c r="E43" s="115" t="str">
        <f t="shared" si="1"/>
        <v>Renegade Rat Ogre</v>
      </c>
      <c r="F43" s="113">
        <f t="shared" si="2"/>
        <v>6</v>
      </c>
      <c r="G43" s="113">
        <f t="shared" si="3"/>
        <v>5</v>
      </c>
      <c r="H43" s="113" t="str">
        <f t="shared" si="4"/>
        <v>4+</v>
      </c>
      <c r="I43" s="113" t="str">
        <f t="shared" si="5"/>
        <v>-</v>
      </c>
      <c r="J43" s="113" t="str">
        <f t="shared" si="6"/>
        <v>9+</v>
      </c>
      <c r="K43" s="115" t="str">
        <f t="shared" si="7"/>
        <v>Animal Savagery*, Frenzy*, Loner (4+)*, Mighty Blow (+1), Prehensile Tail</v>
      </c>
      <c r="L43" s="114" t="str">
        <f t="shared" si="8"/>
        <v>S</v>
      </c>
      <c r="M43" s="114" t="str">
        <f t="shared" si="9"/>
        <v>AGM</v>
      </c>
      <c r="N43" s="113" t="str">
        <f t="shared" si="10"/>
        <v>150k</v>
      </c>
    </row>
    <row r="44" spans="1:14" x14ac:dyDescent="0.25">
      <c r="D44" s="64" t="s">
        <v>676</v>
      </c>
      <c r="E44" s="64" t="str">
        <f>CONCATENATE(VLOOKUP(A32,TEAMS,5,FALSE),"k")</f>
        <v>70k</v>
      </c>
      <c r="F44" s="460" t="s">
        <v>680</v>
      </c>
      <c r="G44" s="460"/>
      <c r="H44" s="460"/>
      <c r="I44" s="460"/>
      <c r="J44" s="113" t="str">
        <f>VLOOKUP(A32,TEAMS,6,FALSE)</f>
        <v>Yes</v>
      </c>
      <c r="K44" s="461" t="s">
        <v>681</v>
      </c>
      <c r="L44" s="461"/>
      <c r="M44" s="461"/>
      <c r="N44" s="116">
        <f>VLOOKUP(A32,TEAMS,8,FALSE)</f>
        <v>4</v>
      </c>
    </row>
    <row r="45" spans="1:14" ht="15" customHeight="1" x14ac:dyDescent="0.25">
      <c r="D45" s="460" t="s">
        <v>682</v>
      </c>
      <c r="E45" s="460"/>
      <c r="F45" s="462" t="str">
        <f>IFERROR(VLOOKUP(LEFT(VLOOKUP(A39,TEAMS,7,FALSE),3),SpecialRules,3,FALSE) &amp; VLOOKUP(MID(VLOOKUP(A39,TEAMS,7,FALSE),4,3),SpecialRules,3,FALSE),"")</f>
        <v/>
      </c>
      <c r="G45" s="462"/>
      <c r="H45" s="462"/>
      <c r="I45" s="462"/>
      <c r="J45" s="462"/>
      <c r="K45" s="462"/>
      <c r="L45" s="462"/>
      <c r="M45" s="462"/>
      <c r="N45" s="462"/>
    </row>
    <row r="46" spans="1:14" x14ac:dyDescent="0.25">
      <c r="D46" s="465" t="s">
        <v>685</v>
      </c>
      <c r="E46" s="465"/>
      <c r="F46" s="465"/>
      <c r="G46" s="465"/>
      <c r="H46" s="465"/>
      <c r="I46" s="465"/>
      <c r="J46" s="465"/>
      <c r="K46" s="465"/>
      <c r="L46" s="465"/>
      <c r="M46" s="465"/>
      <c r="N46" s="465"/>
    </row>
    <row r="47" spans="1:14" x14ac:dyDescent="0.25">
      <c r="D47" s="439"/>
      <c r="E47" s="439"/>
      <c r="F47" s="439"/>
      <c r="G47" s="439"/>
      <c r="H47" s="439"/>
      <c r="I47" s="439"/>
      <c r="J47" s="439"/>
      <c r="K47" s="439"/>
      <c r="L47" s="439"/>
      <c r="M47" s="439"/>
      <c r="N47" s="439"/>
    </row>
    <row r="48" spans="1:14" ht="21" x14ac:dyDescent="0.35">
      <c r="A48" s="6" t="s">
        <v>97</v>
      </c>
      <c r="B48" s="6">
        <v>5</v>
      </c>
      <c r="D48" s="459" t="str">
        <f>A48</f>
        <v>Dark Elf</v>
      </c>
      <c r="E48" s="459"/>
      <c r="F48" s="459"/>
      <c r="G48" s="459"/>
      <c r="H48" s="459"/>
      <c r="I48" s="459"/>
      <c r="J48" s="459"/>
      <c r="K48" s="459"/>
      <c r="L48" s="459"/>
      <c r="M48" s="459"/>
      <c r="N48" s="459"/>
    </row>
    <row r="49" spans="1:14" x14ac:dyDescent="0.25">
      <c r="A49" s="6" t="s">
        <v>97</v>
      </c>
      <c r="D49" s="64" t="s">
        <v>952</v>
      </c>
      <c r="E49" s="64" t="s">
        <v>4</v>
      </c>
      <c r="F49" s="113" t="s">
        <v>5</v>
      </c>
      <c r="G49" s="113" t="s">
        <v>6</v>
      </c>
      <c r="H49" s="113" t="s">
        <v>7</v>
      </c>
      <c r="I49" s="113" t="s">
        <v>8</v>
      </c>
      <c r="J49" s="113" t="s">
        <v>9</v>
      </c>
      <c r="K49" s="64" t="s">
        <v>662</v>
      </c>
      <c r="L49" s="64" t="s">
        <v>674</v>
      </c>
      <c r="M49" s="64" t="s">
        <v>675</v>
      </c>
      <c r="N49" s="116" t="s">
        <v>879</v>
      </c>
    </row>
    <row r="50" spans="1:14" x14ac:dyDescent="0.25">
      <c r="A50" s="6" t="s">
        <v>97</v>
      </c>
      <c r="B50" s="6">
        <v>1</v>
      </c>
      <c r="D50" s="114" t="str">
        <f>CONCATENATE("0-",VLOOKUP(CONCATENATE(VLOOKUP(A50,TEAMS,2,FALSE),TEXT(B50,"00")),PLAYERS,$D$1,FALSE),IF(VLOOKUP(CONCATENATE(VLOOKUP(A50,TEAMS,2,FALSE),TEXT(B50,"00")),PLAYERS,$D$1+1,FALSE)="BG"," *",""))</f>
        <v>0-12</v>
      </c>
      <c r="E50" s="115" t="str">
        <f>VLOOKUP(CONCATENATE(VLOOKUP(A50,TEAMS,2,FALSE),TEXT($B50,"00")),PLAYERS,E$1,FALSE)</f>
        <v>Dark Elf Lineman</v>
      </c>
      <c r="F50" s="113">
        <f>VLOOKUP(CONCATENATE(VLOOKUP(A50,TEAMS,2,FALSE),TEXT($B50,"00")),PLAYERS,F$1,FALSE)</f>
        <v>6</v>
      </c>
      <c r="G50" s="113">
        <f>VLOOKUP(CONCATENATE(VLOOKUP(A50,TEAMS,2,FALSE),TEXT($B50,"00")),PLAYERS,G$1,FALSE)</f>
        <v>3</v>
      </c>
      <c r="H50" s="113" t="str">
        <f>CONCATENATE(VLOOKUP(CONCATENATE(VLOOKUP(A50,TEAMS,2,FALSE),TEXT($B50,"00")),PLAYERS,H$1,FALSE),"+")</f>
        <v>2+</v>
      </c>
      <c r="I50" s="113" t="str">
        <f>CONCATENATE(VLOOKUP(CONCATENATE(VLOOKUP(A50,TEAMS,2,FALSE),TEXT($B50,"00")),PLAYERS,I$1,FALSE),IF(VLOOKUP(CONCATENATE(VLOOKUP(A50,TEAMS,2,FALSE),TEXT($B50,"00")),PLAYERS,I$1,FALSE)="-","","+"))</f>
        <v>4+</v>
      </c>
      <c r="J50" s="113" t="str">
        <f>CONCATENATE(VLOOKUP(CONCATENATE(VLOOKUP(A50,TEAMS,2,FALSE),TEXT($B50,"00")),PLAYERS,J$1,FALSE),"+")</f>
        <v>9+</v>
      </c>
      <c r="K50" s="115" t="str">
        <f>VLOOKUP(CONCATENATE(VLOOKUP(A50,TEAMS,2,FALSE),TEXT($B50,"00")),PLAYERS,K$1,FALSE)</f>
        <v>None</v>
      </c>
      <c r="L50" s="114" t="str">
        <f>VLOOKUP(CONCATENATE(VLOOKUP(A50,TEAMS,2,FALSE),TEXT($B50,"00")),PLAYERS,L$1,FALSE)</f>
        <v>AG</v>
      </c>
      <c r="M50" s="114" t="str">
        <f>VLOOKUP(CONCATENATE(VLOOKUP(A50,TEAMS,2,FALSE),TEXT($B50,"00")),PLAYERS,M$1,FALSE)</f>
        <v>S</v>
      </c>
      <c r="N50" s="113" t="str">
        <f>CONCATENATE(ABS(VLOOKUP(CONCATENATE(VLOOKUP(A50,TEAMS,2,FALSE),TEXT(B50,"00")),PLAYERS,5,FALSE)),"k")</f>
        <v>70k</v>
      </c>
    </row>
    <row r="51" spans="1:14" x14ac:dyDescent="0.25">
      <c r="A51" s="6" t="s">
        <v>97</v>
      </c>
      <c r="B51" s="6">
        <v>2</v>
      </c>
      <c r="D51" s="114" t="str">
        <f>CONCATENATE("0-",VLOOKUP(CONCATENATE(VLOOKUP(A51,TEAMS,2,FALSE),TEXT(B51,"00")),PLAYERS,$D$1,FALSE),IF(VLOOKUP(CONCATENATE(VLOOKUP(A51,TEAMS,2,FALSE),TEXT(B51,"00")),PLAYERS,$D$1+1,FALSE)="BG"," *",""))</f>
        <v>0-2</v>
      </c>
      <c r="E51" s="115" t="str">
        <f>VLOOKUP(CONCATENATE(VLOOKUP(A51,TEAMS,2,FALSE),TEXT($B51,"00")),PLAYERS,E$1,FALSE)</f>
        <v>Dark Elf Runner</v>
      </c>
      <c r="F51" s="113">
        <f>VLOOKUP(CONCATENATE(VLOOKUP(A51,TEAMS,2,FALSE),TEXT($B51,"00")),PLAYERS,F$1,FALSE)</f>
        <v>7</v>
      </c>
      <c r="G51" s="113">
        <f>VLOOKUP(CONCATENATE(VLOOKUP(A51,TEAMS,2,FALSE),TEXT($B51,"00")),PLAYERS,G$1,FALSE)</f>
        <v>3</v>
      </c>
      <c r="H51" s="113" t="str">
        <f>CONCATENATE(VLOOKUP(CONCATENATE(VLOOKUP(A51,TEAMS,2,FALSE),TEXT($B51,"00")),PLAYERS,H$1,FALSE),"+")</f>
        <v>2+</v>
      </c>
      <c r="I51" s="113" t="str">
        <f>CONCATENATE(VLOOKUP(CONCATENATE(VLOOKUP(A51,TEAMS,2,FALSE),TEXT($B51,"00")),PLAYERS,I$1,FALSE),IF(VLOOKUP(CONCATENATE(VLOOKUP(A51,TEAMS,2,FALSE),TEXT($B51,"00")),PLAYERS,I$1,FALSE)="-","","+"))</f>
        <v>3+</v>
      </c>
      <c r="J51" s="113" t="str">
        <f>CONCATENATE(VLOOKUP(CONCATENATE(VLOOKUP(A51,TEAMS,2,FALSE),TEXT($B51,"00")),PLAYERS,J$1,FALSE),"+")</f>
        <v>8+</v>
      </c>
      <c r="K51" s="115" t="str">
        <f>VLOOKUP(CONCATENATE(VLOOKUP(A51,TEAMS,2,FALSE),TEXT($B51,"00")),PLAYERS,K$1,FALSE)</f>
        <v>Dump-off</v>
      </c>
      <c r="L51" s="114" t="str">
        <f>VLOOKUP(CONCATENATE(VLOOKUP(A51,TEAMS,2,FALSE),TEXT($B51,"00")),PLAYERS,L$1,FALSE)</f>
        <v>AGP</v>
      </c>
      <c r="M51" s="114" t="str">
        <f>VLOOKUP(CONCATENATE(VLOOKUP(A51,TEAMS,2,FALSE),TEXT($B51,"00")),PLAYERS,M$1,FALSE)</f>
        <v>S</v>
      </c>
      <c r="N51" s="113" t="str">
        <f>CONCATENATE(ABS(VLOOKUP(CONCATENATE(VLOOKUP(A51,TEAMS,2,FALSE),TEXT(B51,"00")),PLAYERS,5,FALSE)),"k")</f>
        <v>80k</v>
      </c>
    </row>
    <row r="52" spans="1:14" x14ac:dyDescent="0.25">
      <c r="A52" s="6" t="s">
        <v>97</v>
      </c>
      <c r="B52" s="6">
        <v>3</v>
      </c>
      <c r="D52" s="114" t="str">
        <f>CONCATENATE("0-",VLOOKUP(CONCATENATE(VLOOKUP(A52,TEAMS,2,FALSE),TEXT(B52,"00")),PLAYERS,$D$1,FALSE),IF(VLOOKUP(CONCATENATE(VLOOKUP(A52,TEAMS,2,FALSE),TEXT(B52,"00")),PLAYERS,$D$1+1,FALSE)="BG"," *",""))</f>
        <v>0-4</v>
      </c>
      <c r="E52" s="115" t="str">
        <f>VLOOKUP(CONCATENATE(VLOOKUP(A52,TEAMS,2,FALSE),TEXT($B52,"00")),PLAYERS,E$1,FALSE)</f>
        <v>Dark Elf Blitzer</v>
      </c>
      <c r="F52" s="113">
        <f>VLOOKUP(CONCATENATE(VLOOKUP(A52,TEAMS,2,FALSE),TEXT($B52,"00")),PLAYERS,F$1,FALSE)</f>
        <v>7</v>
      </c>
      <c r="G52" s="113">
        <f>VLOOKUP(CONCATENATE(VLOOKUP(A52,TEAMS,2,FALSE),TEXT($B52,"00")),PLAYERS,G$1,FALSE)</f>
        <v>3</v>
      </c>
      <c r="H52" s="113" t="str">
        <f>CONCATENATE(VLOOKUP(CONCATENATE(VLOOKUP(A52,TEAMS,2,FALSE),TEXT($B52,"00")),PLAYERS,H$1,FALSE),"+")</f>
        <v>2+</v>
      </c>
      <c r="I52" s="113" t="str">
        <f>CONCATENATE(VLOOKUP(CONCATENATE(VLOOKUP(A52,TEAMS,2,FALSE),TEXT($B52,"00")),PLAYERS,I$1,FALSE),IF(VLOOKUP(CONCATENATE(VLOOKUP(A52,TEAMS,2,FALSE),TEXT($B52,"00")),PLAYERS,I$1,FALSE)="-","","+"))</f>
        <v>4+</v>
      </c>
      <c r="J52" s="113" t="str">
        <f>CONCATENATE(VLOOKUP(CONCATENATE(VLOOKUP(A52,TEAMS,2,FALSE),TEXT($B52,"00")),PLAYERS,J$1,FALSE),"+")</f>
        <v>9+</v>
      </c>
      <c r="K52" s="115" t="str">
        <f>VLOOKUP(CONCATENATE(VLOOKUP(A52,TEAMS,2,FALSE),TEXT($B52,"00")),PLAYERS,K$1,FALSE)</f>
        <v>Block</v>
      </c>
      <c r="L52" s="114" t="str">
        <f>VLOOKUP(CONCATENATE(VLOOKUP(A52,TEAMS,2,FALSE),TEXT($B52,"00")),PLAYERS,L$1,FALSE)</f>
        <v>AG</v>
      </c>
      <c r="M52" s="114" t="str">
        <f>VLOOKUP(CONCATENATE(VLOOKUP(A52,TEAMS,2,FALSE),TEXT($B52,"00")),PLAYERS,M$1,FALSE)</f>
        <v>PS</v>
      </c>
      <c r="N52" s="113" t="str">
        <f>CONCATENATE(ABS(VLOOKUP(CONCATENATE(VLOOKUP(A52,TEAMS,2,FALSE),TEXT(B52,"00")),PLAYERS,5,FALSE)),"k")</f>
        <v>100k</v>
      </c>
    </row>
    <row r="53" spans="1:14" x14ac:dyDescent="0.25">
      <c r="A53" s="6" t="s">
        <v>97</v>
      </c>
      <c r="B53" s="6">
        <v>4</v>
      </c>
      <c r="D53" s="114" t="str">
        <f>CONCATENATE("0-",VLOOKUP(CONCATENATE(VLOOKUP(A53,TEAMS,2,FALSE),TEXT(B53,"00")),PLAYERS,$D$1,FALSE),IF(VLOOKUP(CONCATENATE(VLOOKUP(A53,TEAMS,2,FALSE),TEXT(B53,"00")),PLAYERS,$D$1+1,FALSE)="BG"," *",""))</f>
        <v>0-2</v>
      </c>
      <c r="E53" s="115" t="str">
        <f>VLOOKUP(CONCATENATE(VLOOKUP(A53,TEAMS,2,FALSE),TEXT($B53,"00")),PLAYERS,E$1,FALSE)</f>
        <v>Assassin</v>
      </c>
      <c r="F53" s="113">
        <f>VLOOKUP(CONCATENATE(VLOOKUP(A53,TEAMS,2,FALSE),TEXT($B53,"00")),PLAYERS,F$1,FALSE)</f>
        <v>7</v>
      </c>
      <c r="G53" s="113">
        <f>VLOOKUP(CONCATENATE(VLOOKUP(A53,TEAMS,2,FALSE),TEXT($B53,"00")),PLAYERS,G$1,FALSE)</f>
        <v>3</v>
      </c>
      <c r="H53" s="113" t="str">
        <f>CONCATENATE(VLOOKUP(CONCATENATE(VLOOKUP(A53,TEAMS,2,FALSE),TEXT($B53,"00")),PLAYERS,H$1,FALSE),"+")</f>
        <v>2+</v>
      </c>
      <c r="I53" s="113" t="str">
        <f>CONCATENATE(VLOOKUP(CONCATENATE(VLOOKUP(A53,TEAMS,2,FALSE),TEXT($B53,"00")),PLAYERS,I$1,FALSE),IF(VLOOKUP(CONCATENATE(VLOOKUP(A53,TEAMS,2,FALSE),TEXT($B53,"00")),PLAYERS,I$1,FALSE)="-","","+"))</f>
        <v>5+</v>
      </c>
      <c r="J53" s="113" t="str">
        <f>CONCATENATE(VLOOKUP(CONCATENATE(VLOOKUP(A53,TEAMS,2,FALSE),TEXT($B53,"00")),PLAYERS,J$1,FALSE),"+")</f>
        <v>8+</v>
      </c>
      <c r="K53" s="115" t="str">
        <f>VLOOKUP(CONCATENATE(VLOOKUP(A53,TEAMS,2,FALSE),TEXT($B53,"00")),PLAYERS,K$1,FALSE)</f>
        <v>Shadowing, Stab</v>
      </c>
      <c r="L53" s="114" t="str">
        <f>VLOOKUP(CONCATENATE(VLOOKUP(A53,TEAMS,2,FALSE),TEXT($B53,"00")),PLAYERS,L$1,FALSE)</f>
        <v>AG</v>
      </c>
      <c r="M53" s="114" t="str">
        <f>VLOOKUP(CONCATENATE(VLOOKUP(A53,TEAMS,2,FALSE),TEXT($B53,"00")),PLAYERS,M$1,FALSE)</f>
        <v>PS</v>
      </c>
      <c r="N53" s="113" t="str">
        <f>CONCATENATE(ABS(VLOOKUP(CONCATENATE(VLOOKUP(A53,TEAMS,2,FALSE),TEXT(B53,"00")),PLAYERS,5,FALSE)),"k")</f>
        <v>85k</v>
      </c>
    </row>
    <row r="54" spans="1:14" x14ac:dyDescent="0.25">
      <c r="A54" s="6" t="s">
        <v>97</v>
      </c>
      <c r="B54" s="6">
        <v>5</v>
      </c>
      <c r="D54" s="114" t="str">
        <f>CONCATENATE("0-",VLOOKUP(CONCATENATE(VLOOKUP(A54,TEAMS,2,FALSE),TEXT(B54,"00")),PLAYERS,$D$1,FALSE),IF(VLOOKUP(CONCATENATE(VLOOKUP(A54,TEAMS,2,FALSE),TEXT(B54,"00")),PLAYERS,$D$1+1,FALSE)="BG"," *",""))</f>
        <v>0-2</v>
      </c>
      <c r="E54" s="115" t="str">
        <f>VLOOKUP(CONCATENATE(VLOOKUP(A54,TEAMS,2,FALSE),TEXT($B54,"00")),PLAYERS,E$1,FALSE)</f>
        <v>Witch Elf</v>
      </c>
      <c r="F54" s="113">
        <f>VLOOKUP(CONCATENATE(VLOOKUP(A54,TEAMS,2,FALSE),TEXT($B54,"00")),PLAYERS,F$1,FALSE)</f>
        <v>7</v>
      </c>
      <c r="G54" s="113">
        <f>VLOOKUP(CONCATENATE(VLOOKUP(A54,TEAMS,2,FALSE),TEXT($B54,"00")),PLAYERS,G$1,FALSE)</f>
        <v>3</v>
      </c>
      <c r="H54" s="113" t="str">
        <f>CONCATENATE(VLOOKUP(CONCATENATE(VLOOKUP(A54,TEAMS,2,FALSE),TEXT($B54,"00")),PLAYERS,H$1,FALSE),"+")</f>
        <v>2+</v>
      </c>
      <c r="I54" s="113" t="str">
        <f>CONCATENATE(VLOOKUP(CONCATENATE(VLOOKUP(A54,TEAMS,2,FALSE),TEXT($B54,"00")),PLAYERS,I$1,FALSE),IF(VLOOKUP(CONCATENATE(VLOOKUP(A54,TEAMS,2,FALSE),TEXT($B54,"00")),PLAYERS,I$1,FALSE)="-","","+"))</f>
        <v>5+</v>
      </c>
      <c r="J54" s="113" t="str">
        <f>CONCATENATE(VLOOKUP(CONCATENATE(VLOOKUP(A54,TEAMS,2,FALSE),TEXT($B54,"00")),PLAYERS,J$1,FALSE),"+")</f>
        <v>8+</v>
      </c>
      <c r="K54" s="115" t="str">
        <f>VLOOKUP(CONCATENATE(VLOOKUP(A54,TEAMS,2,FALSE),TEXT($B54,"00")),PLAYERS,K$1,FALSE)</f>
        <v>Dodge, Frenzy*, Jump Up</v>
      </c>
      <c r="L54" s="114" t="str">
        <f>VLOOKUP(CONCATENATE(VLOOKUP(A54,TEAMS,2,FALSE),TEXT($B54,"00")),PLAYERS,L$1,FALSE)</f>
        <v>AG</v>
      </c>
      <c r="M54" s="114" t="str">
        <f>VLOOKUP(CONCATENATE(VLOOKUP(A54,TEAMS,2,FALSE),TEXT($B54,"00")),PLAYERS,M$1,FALSE)</f>
        <v>PS</v>
      </c>
      <c r="N54" s="113" t="str">
        <f>CONCATENATE(ABS(VLOOKUP(CONCATENATE(VLOOKUP(A54,TEAMS,2,FALSE),TEXT(B54,"00")),PLAYERS,5,FALSE)),"k")</f>
        <v>110k</v>
      </c>
    </row>
    <row r="55" spans="1:14" x14ac:dyDescent="0.25">
      <c r="D55" s="64" t="s">
        <v>676</v>
      </c>
      <c r="E55" s="64" t="str">
        <f>CONCATENATE(VLOOKUP(A48,TEAMS,5,FALSE),"k")</f>
        <v>50k</v>
      </c>
      <c r="F55" s="460" t="s">
        <v>680</v>
      </c>
      <c r="G55" s="460"/>
      <c r="H55" s="460"/>
      <c r="I55" s="460"/>
      <c r="J55" s="113" t="str">
        <f>VLOOKUP(A48,TEAMS,6,FALSE)</f>
        <v>Yes</v>
      </c>
      <c r="K55" s="461" t="s">
        <v>681</v>
      </c>
      <c r="L55" s="461"/>
      <c r="M55" s="461"/>
      <c r="N55" s="116">
        <f>VLOOKUP(A48,TEAMS,8,FALSE)</f>
        <v>1</v>
      </c>
    </row>
    <row r="56" spans="1:14" x14ac:dyDescent="0.25">
      <c r="D56" s="460" t="s">
        <v>682</v>
      </c>
      <c r="E56" s="460"/>
      <c r="F56" s="462" t="str">
        <f>IFERROR(VLOOKUP(LEFT(VLOOKUP(A48,TEAMS,7,FALSE),3),SpecialRules,3,FALSE) &amp; VLOOKUP(MID(VLOOKUP(A48,TEAMS,7,FALSE),4,3),SpecialRules,3,FALSE),"no Special Rules")</f>
        <v>no Special Rules</v>
      </c>
      <c r="G56" s="462"/>
      <c r="H56" s="462"/>
      <c r="I56" s="462"/>
      <c r="J56" s="462"/>
      <c r="K56" s="462"/>
      <c r="L56" s="462"/>
      <c r="M56" s="462"/>
      <c r="N56" s="462"/>
    </row>
    <row r="57" spans="1:14" x14ac:dyDescent="0.25">
      <c r="D57" s="465"/>
      <c r="E57" s="465"/>
      <c r="F57" s="465"/>
      <c r="G57" s="465"/>
      <c r="H57" s="465"/>
      <c r="I57" s="465"/>
      <c r="J57" s="465"/>
      <c r="K57" s="465"/>
      <c r="L57" s="465"/>
      <c r="M57" s="465"/>
      <c r="N57" s="465"/>
    </row>
    <row r="58" spans="1:14" ht="21" x14ac:dyDescent="0.35">
      <c r="A58" s="6" t="s">
        <v>98</v>
      </c>
      <c r="B58" s="6">
        <v>5</v>
      </c>
      <c r="D58" s="459" t="str">
        <f>A58</f>
        <v>Dwarf</v>
      </c>
      <c r="E58" s="459"/>
      <c r="F58" s="459"/>
      <c r="G58" s="459"/>
      <c r="H58" s="459"/>
      <c r="I58" s="459"/>
      <c r="J58" s="459"/>
      <c r="K58" s="459"/>
      <c r="L58" s="459"/>
      <c r="M58" s="459"/>
      <c r="N58" s="459"/>
    </row>
    <row r="59" spans="1:14" x14ac:dyDescent="0.25">
      <c r="A59" s="6" t="s">
        <v>98</v>
      </c>
      <c r="D59" s="64" t="s">
        <v>952</v>
      </c>
      <c r="E59" s="64" t="s">
        <v>4</v>
      </c>
      <c r="F59" s="113" t="s">
        <v>5</v>
      </c>
      <c r="G59" s="113" t="s">
        <v>6</v>
      </c>
      <c r="H59" s="113" t="s">
        <v>7</v>
      </c>
      <c r="I59" s="113" t="s">
        <v>8</v>
      </c>
      <c r="J59" s="113" t="s">
        <v>9</v>
      </c>
      <c r="K59" s="64" t="s">
        <v>662</v>
      </c>
      <c r="L59" s="64" t="s">
        <v>674</v>
      </c>
      <c r="M59" s="64" t="s">
        <v>675</v>
      </c>
      <c r="N59" s="116" t="s">
        <v>879</v>
      </c>
    </row>
    <row r="60" spans="1:14" x14ac:dyDescent="0.25">
      <c r="A60" s="6" t="s">
        <v>98</v>
      </c>
      <c r="B60" s="6">
        <v>1</v>
      </c>
      <c r="D60" s="114" t="str">
        <f>CONCATENATE("0-",VLOOKUP(CONCATENATE(VLOOKUP(A60,TEAMS,2,FALSE),TEXT(B60,"00")),PLAYERS,$D$1,FALSE),IF(VLOOKUP(CONCATENATE(VLOOKUP(A60,TEAMS,2,FALSE),TEXT(B60,"00")),PLAYERS,$D$1+1,FALSE)="BG"," *",""))</f>
        <v>0-12</v>
      </c>
      <c r="E60" s="115" t="str">
        <f>VLOOKUP(CONCATENATE(VLOOKUP(A60,TEAMS,2,FALSE),TEXT($B60,"00")),PLAYERS,E$1,FALSE)</f>
        <v>Dwarf Blocker Lineman</v>
      </c>
      <c r="F60" s="113">
        <f>VLOOKUP(CONCATENATE(VLOOKUP(A60,TEAMS,2,FALSE),TEXT($B60,"00")),PLAYERS,F$1,FALSE)</f>
        <v>4</v>
      </c>
      <c r="G60" s="113">
        <f>VLOOKUP(CONCATENATE(VLOOKUP(A60,TEAMS,2,FALSE),TEXT($B60,"00")),PLAYERS,G$1,FALSE)</f>
        <v>3</v>
      </c>
      <c r="H60" s="113" t="str">
        <f>CONCATENATE(VLOOKUP(CONCATENATE(VLOOKUP(A60,TEAMS,2,FALSE),TEXT($B60,"00")),PLAYERS,H$1,FALSE),"+")</f>
        <v>4+</v>
      </c>
      <c r="I60" s="113" t="str">
        <f>CONCATENATE(VLOOKUP(CONCATENATE(VLOOKUP(A60,TEAMS,2,FALSE),TEXT($B60,"00")),PLAYERS,I$1,FALSE),IF(VLOOKUP(CONCATENATE(VLOOKUP(A60,TEAMS,2,FALSE),TEXT($B60,"00")),PLAYERS,I$1,FALSE)="-","","+"))</f>
        <v>5+</v>
      </c>
      <c r="J60" s="113" t="str">
        <f>CONCATENATE(VLOOKUP(CONCATENATE(VLOOKUP(A60,TEAMS,2,FALSE),TEXT($B60,"00")),PLAYERS,J$1,FALSE),"+")</f>
        <v>10+</v>
      </c>
      <c r="K60" s="115" t="str">
        <f>VLOOKUP(CONCATENATE(VLOOKUP(A60,TEAMS,2,FALSE),TEXT($B60,"00")),PLAYERS,K$1,FALSE)</f>
        <v>Block, Tackle, Thick Skull</v>
      </c>
      <c r="L60" s="114" t="str">
        <f>VLOOKUP(CONCATENATE(VLOOKUP(A60,TEAMS,2,FALSE),TEXT($B60,"00")),PLAYERS,L$1,FALSE)</f>
        <v>GS</v>
      </c>
      <c r="M60" s="114" t="str">
        <f>VLOOKUP(CONCATENATE(VLOOKUP(A60,TEAMS,2,FALSE),TEXT($B60,"00")),PLAYERS,M$1,FALSE)</f>
        <v>A</v>
      </c>
      <c r="N60" s="113" t="str">
        <f>CONCATENATE(ABS(VLOOKUP(CONCATENATE(VLOOKUP(A60,TEAMS,2,FALSE),TEXT(B60,"00")),PLAYERS,5,FALSE)),"k")</f>
        <v>70k</v>
      </c>
    </row>
    <row r="61" spans="1:14" x14ac:dyDescent="0.25">
      <c r="A61" s="6" t="s">
        <v>98</v>
      </c>
      <c r="B61" s="6">
        <v>2</v>
      </c>
      <c r="D61" s="114" t="str">
        <f>CONCATENATE("0-",VLOOKUP(CONCATENATE(VLOOKUP(A61,TEAMS,2,FALSE),TEXT(B61,"00")),PLAYERS,$D$1,FALSE),IF(VLOOKUP(CONCATENATE(VLOOKUP(A61,TEAMS,2,FALSE),TEXT(B61,"00")),PLAYERS,$D$1+1,FALSE)="BG"," *",""))</f>
        <v>0-2</v>
      </c>
      <c r="E61" s="115" t="str">
        <f>VLOOKUP(CONCATENATE(VLOOKUP(A61,TEAMS,2,FALSE),TEXT($B61,"00")),PLAYERS,E$1,FALSE)</f>
        <v>Dwarf Runner</v>
      </c>
      <c r="F61" s="113">
        <f>VLOOKUP(CONCATENATE(VLOOKUP(A61,TEAMS,2,FALSE),TEXT($B61,"00")),PLAYERS,F$1,FALSE)</f>
        <v>6</v>
      </c>
      <c r="G61" s="113">
        <f>VLOOKUP(CONCATENATE(VLOOKUP(A61,TEAMS,2,FALSE),TEXT($B61,"00")),PLAYERS,G$1,FALSE)</f>
        <v>3</v>
      </c>
      <c r="H61" s="113" t="str">
        <f>CONCATENATE(VLOOKUP(CONCATENATE(VLOOKUP(A61,TEAMS,2,FALSE),TEXT($B61,"00")),PLAYERS,H$1,FALSE),"+")</f>
        <v>3+</v>
      </c>
      <c r="I61" s="113" t="str">
        <f>CONCATENATE(VLOOKUP(CONCATENATE(VLOOKUP(A61,TEAMS,2,FALSE),TEXT($B61,"00")),PLAYERS,I$1,FALSE),IF(VLOOKUP(CONCATENATE(VLOOKUP(A61,TEAMS,2,FALSE),TEXT($B61,"00")),PLAYERS,I$1,FALSE)="-","","+"))</f>
        <v>4+</v>
      </c>
      <c r="J61" s="113" t="str">
        <f>CONCATENATE(VLOOKUP(CONCATENATE(VLOOKUP(A61,TEAMS,2,FALSE),TEXT($B61,"00")),PLAYERS,J$1,FALSE),"+")</f>
        <v>9+</v>
      </c>
      <c r="K61" s="115" t="str">
        <f>VLOOKUP(CONCATENATE(VLOOKUP(A61,TEAMS,2,FALSE),TEXT($B61,"00")),PLAYERS,K$1,FALSE)</f>
        <v>Sure Hands, Thick Skull</v>
      </c>
      <c r="L61" s="114" t="str">
        <f>VLOOKUP(CONCATENATE(VLOOKUP(A61,TEAMS,2,FALSE),TEXT($B61,"00")),PLAYERS,L$1,FALSE)</f>
        <v>GP</v>
      </c>
      <c r="M61" s="114" t="str">
        <f>VLOOKUP(CONCATENATE(VLOOKUP(A61,TEAMS,2,FALSE),TEXT($B61,"00")),PLAYERS,M$1,FALSE)</f>
        <v>AS</v>
      </c>
      <c r="N61" s="113" t="str">
        <f>CONCATENATE(ABS(VLOOKUP(CONCATENATE(VLOOKUP(A61,TEAMS,2,FALSE),TEXT(B61,"00")),PLAYERS,5,FALSE)),"k")</f>
        <v>85k</v>
      </c>
    </row>
    <row r="62" spans="1:14" x14ac:dyDescent="0.25">
      <c r="A62" s="6" t="s">
        <v>98</v>
      </c>
      <c r="B62" s="6">
        <v>3</v>
      </c>
      <c r="D62" s="114" t="str">
        <f>CONCATENATE("0-",VLOOKUP(CONCATENATE(VLOOKUP(A62,TEAMS,2,FALSE),TEXT(B62,"00")),PLAYERS,$D$1,FALSE),IF(VLOOKUP(CONCATENATE(VLOOKUP(A62,TEAMS,2,FALSE),TEXT(B62,"00")),PLAYERS,$D$1+1,FALSE)="BG"," *",""))</f>
        <v>0-2</v>
      </c>
      <c r="E62" s="115" t="str">
        <f>VLOOKUP(CONCATENATE(VLOOKUP(A62,TEAMS,2,FALSE),TEXT($B62,"00")),PLAYERS,E$1,FALSE)</f>
        <v>Dwarf Blitzer</v>
      </c>
      <c r="F62" s="113">
        <f>VLOOKUP(CONCATENATE(VLOOKUP(A62,TEAMS,2,FALSE),TEXT($B62,"00")),PLAYERS,F$1,FALSE)</f>
        <v>5</v>
      </c>
      <c r="G62" s="113">
        <f>VLOOKUP(CONCATENATE(VLOOKUP(A62,TEAMS,2,FALSE),TEXT($B62,"00")),PLAYERS,G$1,FALSE)</f>
        <v>3</v>
      </c>
      <c r="H62" s="113" t="str">
        <f>CONCATENATE(VLOOKUP(CONCATENATE(VLOOKUP(A62,TEAMS,2,FALSE),TEXT($B62,"00")),PLAYERS,H$1,FALSE),"+")</f>
        <v>3+</v>
      </c>
      <c r="I62" s="113" t="str">
        <f>CONCATENATE(VLOOKUP(CONCATENATE(VLOOKUP(A62,TEAMS,2,FALSE),TEXT($B62,"00")),PLAYERS,I$1,FALSE),IF(VLOOKUP(CONCATENATE(VLOOKUP(A62,TEAMS,2,FALSE),TEXT($B62,"00")),PLAYERS,I$1,FALSE)="-","","+"))</f>
        <v>4+</v>
      </c>
      <c r="J62" s="113" t="str">
        <f>CONCATENATE(VLOOKUP(CONCATENATE(VLOOKUP(A62,TEAMS,2,FALSE),TEXT($B62,"00")),PLAYERS,J$1,FALSE),"+")</f>
        <v>10+</v>
      </c>
      <c r="K62" s="115" t="str">
        <f>VLOOKUP(CONCATENATE(VLOOKUP(A62,TEAMS,2,FALSE),TEXT($B62,"00")),PLAYERS,K$1,FALSE)</f>
        <v>Block, Thick Skull</v>
      </c>
      <c r="L62" s="114" t="str">
        <f>VLOOKUP(CONCATENATE(VLOOKUP(A62,TEAMS,2,FALSE),TEXT($B62,"00")),PLAYERS,L$1,FALSE)</f>
        <v>GS</v>
      </c>
      <c r="M62" s="114" t="str">
        <f>VLOOKUP(CONCATENATE(VLOOKUP(A62,TEAMS,2,FALSE),TEXT($B62,"00")),PLAYERS,M$1,FALSE)</f>
        <v>AP</v>
      </c>
      <c r="N62" s="113" t="str">
        <f>CONCATENATE(ABS(VLOOKUP(CONCATENATE(VLOOKUP(A62,TEAMS,2,FALSE),TEXT(B62,"00")),PLAYERS,5,FALSE)),"k")</f>
        <v>80k</v>
      </c>
    </row>
    <row r="63" spans="1:14" x14ac:dyDescent="0.25">
      <c r="A63" s="6" t="s">
        <v>98</v>
      </c>
      <c r="B63" s="6">
        <v>4</v>
      </c>
      <c r="D63" s="114" t="str">
        <f>CONCATENATE("0-",VLOOKUP(CONCATENATE(VLOOKUP(A63,TEAMS,2,FALSE),TEXT(B63,"00")),PLAYERS,$D$1,FALSE),IF(VLOOKUP(CONCATENATE(VLOOKUP(A63,TEAMS,2,FALSE),TEXT(B63,"00")),PLAYERS,$D$1+1,FALSE)="BG"," *",""))</f>
        <v>0-2</v>
      </c>
      <c r="E63" s="115" t="str">
        <f>VLOOKUP(CONCATENATE(VLOOKUP(A63,TEAMS,2,FALSE),TEXT($B63,"00")),PLAYERS,E$1,FALSE)</f>
        <v>Troll Slayer</v>
      </c>
      <c r="F63" s="113">
        <f>VLOOKUP(CONCATENATE(VLOOKUP(A63,TEAMS,2,FALSE),TEXT($B63,"00")),PLAYERS,F$1,FALSE)</f>
        <v>5</v>
      </c>
      <c r="G63" s="113">
        <f>VLOOKUP(CONCATENATE(VLOOKUP(A63,TEAMS,2,FALSE),TEXT($B63,"00")),PLAYERS,G$1,FALSE)</f>
        <v>3</v>
      </c>
      <c r="H63" s="113" t="str">
        <f>CONCATENATE(VLOOKUP(CONCATENATE(VLOOKUP(A63,TEAMS,2,FALSE),TEXT($B63,"00")),PLAYERS,H$1,FALSE),"+")</f>
        <v>4+</v>
      </c>
      <c r="I63" s="113" t="str">
        <f>CONCATENATE(VLOOKUP(CONCATENATE(VLOOKUP(A63,TEAMS,2,FALSE),TEXT($B63,"00")),PLAYERS,I$1,FALSE),IF(VLOOKUP(CONCATENATE(VLOOKUP(A63,TEAMS,2,FALSE),TEXT($B63,"00")),PLAYERS,I$1,FALSE)="-","","+"))</f>
        <v>-</v>
      </c>
      <c r="J63" s="113" t="str">
        <f>CONCATENATE(VLOOKUP(CONCATENATE(VLOOKUP(A63,TEAMS,2,FALSE),TEXT($B63,"00")),PLAYERS,J$1,FALSE),"+")</f>
        <v>9+</v>
      </c>
      <c r="K63" s="115" t="str">
        <f>VLOOKUP(CONCATENATE(VLOOKUP(A63,TEAMS,2,FALSE),TEXT($B63,"00")),PLAYERS,K$1,FALSE)</f>
        <v>Block, Dauntless, Frenzy*, Thick Skull</v>
      </c>
      <c r="L63" s="114" t="str">
        <f>VLOOKUP(CONCATENATE(VLOOKUP(A63,TEAMS,2,FALSE),TEXT($B63,"00")),PLAYERS,L$1,FALSE)</f>
        <v>GS</v>
      </c>
      <c r="M63" s="114" t="str">
        <f>VLOOKUP(CONCATENATE(VLOOKUP(A63,TEAMS,2,FALSE),TEXT($B63,"00")),PLAYERS,M$1,FALSE)</f>
        <v>A</v>
      </c>
      <c r="N63" s="113" t="str">
        <f>CONCATENATE(ABS(VLOOKUP(CONCATENATE(VLOOKUP(A63,TEAMS,2,FALSE),TEXT(B63,"00")),PLAYERS,5,FALSE)),"k")</f>
        <v>95k</v>
      </c>
    </row>
    <row r="64" spans="1:14" ht="45" x14ac:dyDescent="0.25">
      <c r="A64" s="6" t="s">
        <v>98</v>
      </c>
      <c r="B64" s="6">
        <v>5</v>
      </c>
      <c r="D64" s="114" t="str">
        <f>CONCATENATE("0-",VLOOKUP(CONCATENATE(VLOOKUP(A64,TEAMS,2,FALSE),TEXT(B64,"00")),PLAYERS,$D$1,FALSE),IF(VLOOKUP(CONCATENATE(VLOOKUP(A64,TEAMS,2,FALSE),TEXT(B64,"00")),PLAYERS,$D$1+1,FALSE)="BG"," *",""))</f>
        <v>0-1</v>
      </c>
      <c r="E64" s="115" t="str">
        <f>VLOOKUP(CONCATENATE(VLOOKUP(A64,TEAMS,2,FALSE),TEXT($B64,"00")),PLAYERS,E$1,FALSE)</f>
        <v>Deathroller</v>
      </c>
      <c r="F64" s="113">
        <f>VLOOKUP(CONCATENATE(VLOOKUP(A64,TEAMS,2,FALSE),TEXT($B64,"00")),PLAYERS,F$1,FALSE)</f>
        <v>4</v>
      </c>
      <c r="G64" s="113">
        <f>VLOOKUP(CONCATENATE(VLOOKUP(A64,TEAMS,2,FALSE),TEXT($B64,"00")),PLAYERS,G$1,FALSE)</f>
        <v>7</v>
      </c>
      <c r="H64" s="113" t="str">
        <f>CONCATENATE(VLOOKUP(CONCATENATE(VLOOKUP(A64,TEAMS,2,FALSE),TEXT($B64,"00")),PLAYERS,H$1,FALSE),"+")</f>
        <v>5+</v>
      </c>
      <c r="I64" s="113" t="str">
        <f>CONCATENATE(VLOOKUP(CONCATENATE(VLOOKUP(A64,TEAMS,2,FALSE),TEXT($B64,"00")),PLAYERS,I$1,FALSE),IF(VLOOKUP(CONCATENATE(VLOOKUP(A64,TEAMS,2,FALSE),TEXT($B64,"00")),PLAYERS,I$1,FALSE)="-","","+"))</f>
        <v>-</v>
      </c>
      <c r="J64" s="113" t="str">
        <f>CONCATENATE(VLOOKUP(CONCATENATE(VLOOKUP(A64,TEAMS,2,FALSE),TEXT($B64,"00")),PLAYERS,J$1,FALSE),"+")</f>
        <v>11+</v>
      </c>
      <c r="K64" s="115" t="str">
        <f>VLOOKUP(CONCATENATE(VLOOKUP(A64,TEAMS,2,FALSE),TEXT($B64,"00")),PLAYERS,K$1,FALSE)</f>
        <v>Break Tackle, Dirty Player (+2), Juggernaut, Loner (5+), Mighty Blow (+1), No Hands*, Secret Weapon*, Stand Firm</v>
      </c>
      <c r="L64" s="114" t="str">
        <f>VLOOKUP(CONCATENATE(VLOOKUP(A64,TEAMS,2,FALSE),TEXT($B64,"00")),PLAYERS,L$1,FALSE)</f>
        <v>S</v>
      </c>
      <c r="M64" s="114" t="str">
        <f>VLOOKUP(CONCATENATE(VLOOKUP(A64,TEAMS,2,FALSE),TEXT($B64,"00")),PLAYERS,M$1,FALSE)</f>
        <v>AG</v>
      </c>
      <c r="N64" s="113" t="str">
        <f>CONCATENATE(ABS(VLOOKUP(CONCATENATE(VLOOKUP(A64,TEAMS,2,FALSE),TEXT(B64,"00")),PLAYERS,5,FALSE)),"k")</f>
        <v>170k</v>
      </c>
    </row>
    <row r="65" spans="1:14" x14ac:dyDescent="0.25">
      <c r="D65" s="64" t="s">
        <v>676</v>
      </c>
      <c r="E65" s="64" t="str">
        <f>CONCATENATE(VLOOKUP(A58,TEAMS,5,FALSE),"k")</f>
        <v>50k</v>
      </c>
      <c r="F65" s="466" t="s">
        <v>680</v>
      </c>
      <c r="G65" s="471"/>
      <c r="H65" s="471"/>
      <c r="I65" s="467"/>
      <c r="J65" s="113" t="str">
        <f>VLOOKUP(A58,TEAMS,6,FALSE)</f>
        <v>Yes</v>
      </c>
      <c r="K65" s="468" t="s">
        <v>681</v>
      </c>
      <c r="L65" s="469"/>
      <c r="M65" s="470"/>
      <c r="N65" s="116">
        <f>VLOOKUP(A58,TEAMS,8,FALSE)</f>
        <v>1</v>
      </c>
    </row>
    <row r="66" spans="1:14" x14ac:dyDescent="0.25">
      <c r="D66" s="466" t="s">
        <v>682</v>
      </c>
      <c r="E66" s="467"/>
      <c r="F66" s="462" t="str">
        <f>IFERROR(VLOOKUP(LEFT(VLOOKUP(A60,TEAMS,7,FALSE),3),SpecialRules,3,FALSE) &amp; VLOOKUP(MID(VLOOKUP(A60,TEAMS,7,FALSE),4,3),SpecialRules,3,FALSE),"")</f>
        <v/>
      </c>
      <c r="G66" s="462"/>
      <c r="H66" s="462"/>
      <c r="I66" s="462"/>
      <c r="J66" s="462"/>
      <c r="K66" s="462"/>
      <c r="L66" s="462"/>
      <c r="M66" s="462"/>
      <c r="N66" s="462"/>
    </row>
    <row r="67" spans="1:14" x14ac:dyDescent="0.25">
      <c r="D67" s="465"/>
      <c r="E67" s="465"/>
      <c r="F67" s="465"/>
      <c r="G67" s="465"/>
      <c r="H67" s="465"/>
      <c r="I67" s="465"/>
      <c r="J67" s="465"/>
      <c r="K67" s="465"/>
      <c r="L67" s="465"/>
      <c r="M67" s="465"/>
      <c r="N67" s="465"/>
    </row>
    <row r="68" spans="1:14" ht="21" x14ac:dyDescent="0.35">
      <c r="A68" s="6" t="s">
        <v>99</v>
      </c>
      <c r="B68" s="6">
        <v>4</v>
      </c>
      <c r="D68" s="459" t="str">
        <f>A68</f>
        <v>Elven Union</v>
      </c>
      <c r="E68" s="459"/>
      <c r="F68" s="459"/>
      <c r="G68" s="459"/>
      <c r="H68" s="459"/>
      <c r="I68" s="459"/>
      <c r="J68" s="459"/>
      <c r="K68" s="459"/>
      <c r="L68" s="459"/>
      <c r="M68" s="459"/>
      <c r="N68" s="459"/>
    </row>
    <row r="69" spans="1:14" x14ac:dyDescent="0.25">
      <c r="A69" s="6" t="s">
        <v>99</v>
      </c>
      <c r="D69" s="64" t="s">
        <v>952</v>
      </c>
      <c r="E69" s="64" t="s">
        <v>4</v>
      </c>
      <c r="F69" s="113" t="s">
        <v>5</v>
      </c>
      <c r="G69" s="113" t="s">
        <v>6</v>
      </c>
      <c r="H69" s="113" t="s">
        <v>7</v>
      </c>
      <c r="I69" s="113" t="s">
        <v>8</v>
      </c>
      <c r="J69" s="113" t="s">
        <v>9</v>
      </c>
      <c r="K69" s="64" t="s">
        <v>662</v>
      </c>
      <c r="L69" s="64" t="s">
        <v>674</v>
      </c>
      <c r="M69" s="64" t="s">
        <v>675</v>
      </c>
      <c r="N69" s="116" t="s">
        <v>879</v>
      </c>
    </row>
    <row r="70" spans="1:14" x14ac:dyDescent="0.25">
      <c r="A70" s="6" t="s">
        <v>99</v>
      </c>
      <c r="B70" s="6">
        <v>1</v>
      </c>
      <c r="D70" s="114" t="str">
        <f>CONCATENATE("0-",VLOOKUP(CONCATENATE(VLOOKUP(A70,TEAMS,2,FALSE),TEXT(B70,"00")),PLAYERS,$D$1,FALSE),IF(VLOOKUP(CONCATENATE(VLOOKUP(A70,TEAMS,2,FALSE),TEXT(B70,"00")),PLAYERS,$D$1+1,FALSE)="BG"," *",""))</f>
        <v>0-12</v>
      </c>
      <c r="E70" s="115" t="str">
        <f>VLOOKUP(CONCATENATE(VLOOKUP(A70,TEAMS,2,FALSE),TEXT($B70,"00")),PLAYERS,E$1,FALSE)</f>
        <v>Elven Lineman</v>
      </c>
      <c r="F70" s="113">
        <f>VLOOKUP(CONCATENATE(VLOOKUP(A70,TEAMS,2,FALSE),TEXT($B70,"00")),PLAYERS,F$1,FALSE)</f>
        <v>6</v>
      </c>
      <c r="G70" s="113">
        <f>VLOOKUP(CONCATENATE(VLOOKUP(A70,TEAMS,2,FALSE),TEXT($B70,"00")),PLAYERS,G$1,FALSE)</f>
        <v>3</v>
      </c>
      <c r="H70" s="113" t="str">
        <f>CONCATENATE(VLOOKUP(CONCATENATE(VLOOKUP(A70,TEAMS,2,FALSE),TEXT($B70,"00")),PLAYERS,H$1,FALSE),"+")</f>
        <v>2+</v>
      </c>
      <c r="I70" s="113" t="str">
        <f>CONCATENATE(VLOOKUP(CONCATENATE(VLOOKUP(A70,TEAMS,2,FALSE),TEXT($B70,"00")),PLAYERS,I$1,FALSE),IF(VLOOKUP(CONCATENATE(VLOOKUP(A70,TEAMS,2,FALSE),TEXT($B70,"00")),PLAYERS,I$1,FALSE)="-","","+"))</f>
        <v>4+</v>
      </c>
      <c r="J70" s="113" t="str">
        <f>CONCATENATE(VLOOKUP(CONCATENATE(VLOOKUP(A70,TEAMS,2,FALSE),TEXT($B70,"00")),PLAYERS,J$1,FALSE),"+")</f>
        <v>8+</v>
      </c>
      <c r="K70" s="115" t="str">
        <f>VLOOKUP(CONCATENATE(VLOOKUP(A70,TEAMS,2,FALSE),TEXT($B70,"00")),PLAYERS,K$1,FALSE)</f>
        <v>None</v>
      </c>
      <c r="L70" s="114" t="str">
        <f>VLOOKUP(CONCATENATE(VLOOKUP(A70,TEAMS,2,FALSE),TEXT($B70,"00")),PLAYERS,L$1,FALSE)</f>
        <v>AG</v>
      </c>
      <c r="M70" s="114" t="str">
        <f>VLOOKUP(CONCATENATE(VLOOKUP(A70,TEAMS,2,FALSE),TEXT($B70,"00")),PLAYERS,M$1,FALSE)</f>
        <v>S</v>
      </c>
      <c r="N70" s="113" t="str">
        <f>CONCATENATE(ABS(VLOOKUP(CONCATENATE(VLOOKUP(A70,TEAMS,2,FALSE),TEXT(B70,"00")),PLAYERS,5,FALSE)),"k")</f>
        <v>60k</v>
      </c>
    </row>
    <row r="71" spans="1:14" x14ac:dyDescent="0.25">
      <c r="A71" s="6" t="s">
        <v>99</v>
      </c>
      <c r="B71" s="6">
        <v>2</v>
      </c>
      <c r="D71" s="114" t="str">
        <f>CONCATENATE("0-",VLOOKUP(CONCATENATE(VLOOKUP(A71,TEAMS,2,FALSE),TEXT(B71,"00")),PLAYERS,$D$1,FALSE),IF(VLOOKUP(CONCATENATE(VLOOKUP(A71,TEAMS,2,FALSE),TEXT(B71,"00")),PLAYERS,$D$1+1,FALSE)="BG"," *",""))</f>
        <v>0-2</v>
      </c>
      <c r="E71" s="115" t="str">
        <f>VLOOKUP(CONCATENATE(VLOOKUP(A71,TEAMS,2,FALSE),TEXT($B71,"00")),PLAYERS,E$1,FALSE)</f>
        <v>Elven Thrower</v>
      </c>
      <c r="F71" s="113">
        <f>VLOOKUP(CONCATENATE(VLOOKUP(A71,TEAMS,2,FALSE),TEXT($B71,"00")),PLAYERS,F$1,FALSE)</f>
        <v>6</v>
      </c>
      <c r="G71" s="113">
        <f>VLOOKUP(CONCATENATE(VLOOKUP(A71,TEAMS,2,FALSE),TEXT($B71,"00")),PLAYERS,G$1,FALSE)</f>
        <v>3</v>
      </c>
      <c r="H71" s="113" t="str">
        <f>CONCATENATE(VLOOKUP(CONCATENATE(VLOOKUP(A71,TEAMS,2,FALSE),TEXT($B71,"00")),PLAYERS,H$1,FALSE),"+")</f>
        <v>2+</v>
      </c>
      <c r="I71" s="113" t="str">
        <f>CONCATENATE(VLOOKUP(CONCATENATE(VLOOKUP(A71,TEAMS,2,FALSE),TEXT($B71,"00")),PLAYERS,I$1,FALSE),IF(VLOOKUP(CONCATENATE(VLOOKUP(A71,TEAMS,2,FALSE),TEXT($B71,"00")),PLAYERS,I$1,FALSE)="-","","+"))</f>
        <v>2+</v>
      </c>
      <c r="J71" s="113" t="str">
        <f>CONCATENATE(VLOOKUP(CONCATENATE(VLOOKUP(A71,TEAMS,2,FALSE),TEXT($B71,"00")),PLAYERS,J$1,FALSE),"+")</f>
        <v>8+</v>
      </c>
      <c r="K71" s="115" t="str">
        <f>VLOOKUP(CONCATENATE(VLOOKUP(A71,TEAMS,2,FALSE),TEXT($B71,"00")),PLAYERS,K$1,FALSE)</f>
        <v>Pass</v>
      </c>
      <c r="L71" s="114" t="str">
        <f>VLOOKUP(CONCATENATE(VLOOKUP(A71,TEAMS,2,FALSE),TEXT($B71,"00")),PLAYERS,L$1,FALSE)</f>
        <v>AGP</v>
      </c>
      <c r="M71" s="114" t="str">
        <f>VLOOKUP(CONCATENATE(VLOOKUP(A71,TEAMS,2,FALSE),TEXT($B71,"00")),PLAYERS,M$1,FALSE)</f>
        <v>S</v>
      </c>
      <c r="N71" s="113" t="str">
        <f>CONCATENATE(ABS(VLOOKUP(CONCATENATE(VLOOKUP(A71,TEAMS,2,FALSE),TEXT(B71,"00")),PLAYERS,5,FALSE)),"k")</f>
        <v>75k</v>
      </c>
    </row>
    <row r="72" spans="1:14" x14ac:dyDescent="0.25">
      <c r="A72" s="6" t="s">
        <v>99</v>
      </c>
      <c r="B72" s="6">
        <v>3</v>
      </c>
      <c r="D72" s="114" t="str">
        <f>CONCATENATE("0-",VLOOKUP(CONCATENATE(VLOOKUP(A72,TEAMS,2,FALSE),TEXT(B72,"00")),PLAYERS,$D$1,FALSE),IF(VLOOKUP(CONCATENATE(VLOOKUP(A72,TEAMS,2,FALSE),TEXT(B72,"00")),PLAYERS,$D$1+1,FALSE)="BG"," *",""))</f>
        <v>0-4</v>
      </c>
      <c r="E72" s="115" t="str">
        <f>VLOOKUP(CONCATENATE(VLOOKUP(A72,TEAMS,2,FALSE),TEXT($B72,"00")),PLAYERS,E$1,FALSE)</f>
        <v>Elven Catcher</v>
      </c>
      <c r="F72" s="113">
        <f>VLOOKUP(CONCATENATE(VLOOKUP(A72,TEAMS,2,FALSE),TEXT($B72,"00")),PLAYERS,F$1,FALSE)</f>
        <v>8</v>
      </c>
      <c r="G72" s="113">
        <f>VLOOKUP(CONCATENATE(VLOOKUP(A72,TEAMS,2,FALSE),TEXT($B72,"00")),PLAYERS,G$1,FALSE)</f>
        <v>3</v>
      </c>
      <c r="H72" s="113" t="str">
        <f>CONCATENATE(VLOOKUP(CONCATENATE(VLOOKUP(A72,TEAMS,2,FALSE),TEXT($B72,"00")),PLAYERS,H$1,FALSE),"+")</f>
        <v>2+</v>
      </c>
      <c r="I72" s="113" t="str">
        <f>CONCATENATE(VLOOKUP(CONCATENATE(VLOOKUP(A72,TEAMS,2,FALSE),TEXT($B72,"00")),PLAYERS,I$1,FALSE),IF(VLOOKUP(CONCATENATE(VLOOKUP(A72,TEAMS,2,FALSE),TEXT($B72,"00")),PLAYERS,I$1,FALSE)="-","","+"))</f>
        <v>4+</v>
      </c>
      <c r="J72" s="113" t="str">
        <f>CONCATENATE(VLOOKUP(CONCATENATE(VLOOKUP(A72,TEAMS,2,FALSE),TEXT($B72,"00")),PLAYERS,J$1,FALSE),"+")</f>
        <v>8+</v>
      </c>
      <c r="K72" s="115" t="str">
        <f>VLOOKUP(CONCATENATE(VLOOKUP(A72,TEAMS,2,FALSE),TEXT($B72,"00")),PLAYERS,K$1,FALSE)</f>
        <v>Catch, Nerves of Steel</v>
      </c>
      <c r="L72" s="114" t="str">
        <f>VLOOKUP(CONCATENATE(VLOOKUP(A72,TEAMS,2,FALSE),TEXT($B72,"00")),PLAYERS,L$1,FALSE)</f>
        <v>AG</v>
      </c>
      <c r="M72" s="114" t="str">
        <f>VLOOKUP(CONCATENATE(VLOOKUP(A72,TEAMS,2,FALSE),TEXT($B72,"00")),PLAYERS,M$1,FALSE)</f>
        <v>S</v>
      </c>
      <c r="N72" s="113" t="str">
        <f>CONCATENATE(ABS(VLOOKUP(CONCATENATE(VLOOKUP(A72,TEAMS,2,FALSE),TEXT(B72,"00")),PLAYERS,5,FALSE)),"k")</f>
        <v>100k</v>
      </c>
    </row>
    <row r="73" spans="1:14" x14ac:dyDescent="0.25">
      <c r="A73" s="6" t="s">
        <v>99</v>
      </c>
      <c r="B73" s="6">
        <v>4</v>
      </c>
      <c r="D73" s="114" t="str">
        <f>CONCATENATE("0-",VLOOKUP(CONCATENATE(VLOOKUP(A73,TEAMS,2,FALSE),TEXT(B73,"00")),PLAYERS,$D$1,FALSE),IF(VLOOKUP(CONCATENATE(VLOOKUP(A73,TEAMS,2,FALSE),TEXT(B73,"00")),PLAYERS,$D$1+1,FALSE)="BG"," *",""))</f>
        <v>0-2</v>
      </c>
      <c r="E73" s="115" t="str">
        <f>VLOOKUP(CONCATENATE(VLOOKUP(A73,TEAMS,2,FALSE),TEXT($B73,"00")),PLAYERS,E$1,FALSE)</f>
        <v>Elven Blitzer</v>
      </c>
      <c r="F73" s="113">
        <f>VLOOKUP(CONCATENATE(VLOOKUP(A73,TEAMS,2,FALSE),TEXT($B73,"00")),PLAYERS,F$1,FALSE)</f>
        <v>7</v>
      </c>
      <c r="G73" s="113">
        <f>VLOOKUP(CONCATENATE(VLOOKUP(A73,TEAMS,2,FALSE),TEXT($B73,"00")),PLAYERS,G$1,FALSE)</f>
        <v>3</v>
      </c>
      <c r="H73" s="113" t="str">
        <f>CONCATENATE(VLOOKUP(CONCATENATE(VLOOKUP(A73,TEAMS,2,FALSE),TEXT($B73,"00")),PLAYERS,H$1,FALSE),"+")</f>
        <v>2+</v>
      </c>
      <c r="I73" s="113" t="str">
        <f>CONCATENATE(VLOOKUP(CONCATENATE(VLOOKUP(A73,TEAMS,2,FALSE),TEXT($B73,"00")),PLAYERS,I$1,FALSE),IF(VLOOKUP(CONCATENATE(VLOOKUP(A73,TEAMS,2,FALSE),TEXT($B73,"00")),PLAYERS,I$1,FALSE)="-","","+"))</f>
        <v>3+</v>
      </c>
      <c r="J73" s="113" t="str">
        <f>CONCATENATE(VLOOKUP(CONCATENATE(VLOOKUP(A73,TEAMS,2,FALSE),TEXT($B73,"00")),PLAYERS,J$1,FALSE),"+")</f>
        <v>9+</v>
      </c>
      <c r="K73" s="115" t="str">
        <f>VLOOKUP(CONCATENATE(VLOOKUP(A73,TEAMS,2,FALSE),TEXT($B73,"00")),PLAYERS,K$1,FALSE)</f>
        <v>Block, Sidestep</v>
      </c>
      <c r="L73" s="114" t="str">
        <f>VLOOKUP(CONCATENATE(VLOOKUP(A73,TEAMS,2,FALSE),TEXT($B73,"00")),PLAYERS,L$1,FALSE)</f>
        <v>AG</v>
      </c>
      <c r="M73" s="114" t="str">
        <f>VLOOKUP(CONCATENATE(VLOOKUP(A73,TEAMS,2,FALSE),TEXT($B73,"00")),PLAYERS,M$1,FALSE)</f>
        <v>PS</v>
      </c>
      <c r="N73" s="113" t="str">
        <f>CONCATENATE(ABS(VLOOKUP(CONCATENATE(VLOOKUP(A73,TEAMS,2,FALSE),TEXT(B73,"00")),PLAYERS,5,FALSE)),"k")</f>
        <v>115k</v>
      </c>
    </row>
    <row r="74" spans="1:14" x14ac:dyDescent="0.25">
      <c r="D74" s="64" t="s">
        <v>676</v>
      </c>
      <c r="E74" s="64" t="str">
        <f>CONCATENATE(VLOOKUP(A68,TEAMS,5,FALSE),"k")</f>
        <v>50k</v>
      </c>
      <c r="F74" s="466" t="s">
        <v>680</v>
      </c>
      <c r="G74" s="471"/>
      <c r="H74" s="471"/>
      <c r="I74" s="467"/>
      <c r="J74" s="113" t="str">
        <f>VLOOKUP(A68,TEAMS,6,FALSE)</f>
        <v>Yes</v>
      </c>
      <c r="K74" s="468" t="s">
        <v>681</v>
      </c>
      <c r="L74" s="469"/>
      <c r="M74" s="470"/>
      <c r="N74" s="116">
        <f>VLOOKUP(A68,TEAMS,8,FALSE)</f>
        <v>2</v>
      </c>
    </row>
    <row r="75" spans="1:14" ht="15" customHeight="1" x14ac:dyDescent="0.25">
      <c r="D75" s="466" t="s">
        <v>682</v>
      </c>
      <c r="E75" s="467"/>
      <c r="F75" s="462" t="str">
        <f>IFERROR(VLOOKUP(LEFT(VLOOKUP(A69,TEAMS,7,FALSE),3),SpecialRules,3,FALSE) &amp; VLOOKUP(MID(VLOOKUP(A69,TEAMS,7,FALSE),4,3),SpecialRules,3,FALSE),"")</f>
        <v/>
      </c>
      <c r="G75" s="462"/>
      <c r="H75" s="462"/>
      <c r="I75" s="462"/>
      <c r="J75" s="462"/>
      <c r="K75" s="462"/>
      <c r="L75" s="462"/>
      <c r="M75" s="462"/>
      <c r="N75" s="462"/>
    </row>
    <row r="76" spans="1:14" x14ac:dyDescent="0.25">
      <c r="D76" s="465"/>
      <c r="E76" s="465"/>
      <c r="F76" s="465"/>
      <c r="G76" s="465"/>
      <c r="H76" s="465"/>
      <c r="I76" s="465"/>
      <c r="J76" s="465"/>
      <c r="K76" s="465"/>
      <c r="L76" s="465"/>
      <c r="M76" s="465"/>
      <c r="N76" s="465"/>
    </row>
    <row r="77" spans="1:14" ht="21" x14ac:dyDescent="0.35">
      <c r="A77" s="6" t="s">
        <v>100</v>
      </c>
      <c r="B77" s="6">
        <v>8</v>
      </c>
      <c r="D77" s="459" t="str">
        <f>A77</f>
        <v>Goblin</v>
      </c>
      <c r="E77" s="459"/>
      <c r="F77" s="459"/>
      <c r="G77" s="459"/>
      <c r="H77" s="459"/>
      <c r="I77" s="459"/>
      <c r="J77" s="459"/>
      <c r="K77" s="459"/>
      <c r="L77" s="459"/>
      <c r="M77" s="459"/>
      <c r="N77" s="459"/>
    </row>
    <row r="78" spans="1:14" x14ac:dyDescent="0.25">
      <c r="A78" s="6" t="s">
        <v>100</v>
      </c>
      <c r="D78" s="64" t="s">
        <v>952</v>
      </c>
      <c r="E78" s="64" t="s">
        <v>4</v>
      </c>
      <c r="F78" s="113" t="s">
        <v>5</v>
      </c>
      <c r="G78" s="113" t="s">
        <v>6</v>
      </c>
      <c r="H78" s="113" t="s">
        <v>7</v>
      </c>
      <c r="I78" s="113" t="s">
        <v>8</v>
      </c>
      <c r="J78" s="113" t="s">
        <v>9</v>
      </c>
      <c r="K78" s="64" t="s">
        <v>662</v>
      </c>
      <c r="L78" s="64" t="s">
        <v>674</v>
      </c>
      <c r="M78" s="64" t="s">
        <v>675</v>
      </c>
      <c r="N78" s="116" t="s">
        <v>879</v>
      </c>
    </row>
    <row r="79" spans="1:14" x14ac:dyDescent="0.25">
      <c r="A79" s="6" t="s">
        <v>100</v>
      </c>
      <c r="B79" s="6">
        <v>1</v>
      </c>
      <c r="D79" s="114" t="str">
        <f t="shared" ref="D79:D86" si="11">CONCATENATE("0-",VLOOKUP(CONCATENATE(VLOOKUP(A79,TEAMS,2,FALSE),TEXT(B79,"00")),PLAYERS,$D$1,FALSE),IF(VLOOKUP(CONCATENATE(VLOOKUP(A79,TEAMS,2,FALSE),TEXT(B79,"00")),PLAYERS,$D$1+1,FALSE)="BG"," *",""))</f>
        <v>0-16</v>
      </c>
      <c r="E79" s="115" t="str">
        <f t="shared" ref="E79:E86" si="12">VLOOKUP(CONCATENATE(VLOOKUP(A79,TEAMS,2,FALSE),TEXT($B79,"00")),PLAYERS,E$1,FALSE)</f>
        <v>Goblin Lineman</v>
      </c>
      <c r="F79" s="113">
        <f t="shared" ref="F79:F86" si="13">VLOOKUP(CONCATENATE(VLOOKUP(A79,TEAMS,2,FALSE),TEXT($B79,"00")),PLAYERS,F$1,FALSE)</f>
        <v>6</v>
      </c>
      <c r="G79" s="113">
        <f t="shared" ref="G79:G86" si="14">VLOOKUP(CONCATENATE(VLOOKUP(A79,TEAMS,2,FALSE),TEXT($B79,"00")),PLAYERS,G$1,FALSE)</f>
        <v>2</v>
      </c>
      <c r="H79" s="113" t="str">
        <f t="shared" ref="H79:H86" si="15">CONCATENATE(VLOOKUP(CONCATENATE(VLOOKUP(A79,TEAMS,2,FALSE),TEXT($B79,"00")),PLAYERS,H$1,FALSE),"+")</f>
        <v>3+</v>
      </c>
      <c r="I79" s="113" t="str">
        <f t="shared" ref="I79:I86" si="16">CONCATENATE(VLOOKUP(CONCATENATE(VLOOKUP(A79,TEAMS,2,FALSE),TEXT($B79,"00")),PLAYERS,I$1,FALSE),IF(VLOOKUP(CONCATENATE(VLOOKUP(A79,TEAMS,2,FALSE),TEXT($B79,"00")),PLAYERS,I$1,FALSE)="-","","+"))</f>
        <v>4+</v>
      </c>
      <c r="J79" s="113" t="str">
        <f t="shared" ref="J79:J86" si="17">CONCATENATE(VLOOKUP(CONCATENATE(VLOOKUP(A79,TEAMS,2,FALSE),TEXT($B79,"00")),PLAYERS,J$1,FALSE),"+")</f>
        <v>8+</v>
      </c>
      <c r="K79" s="115" t="str">
        <f t="shared" ref="K79:K86" si="18">VLOOKUP(CONCATENATE(VLOOKUP(A79,TEAMS,2,FALSE),TEXT($B79,"00")),PLAYERS,K$1,FALSE)</f>
        <v>Dodge, Right Stuff*, Stunty*</v>
      </c>
      <c r="L79" s="114" t="str">
        <f t="shared" ref="L79:L86" si="19">VLOOKUP(CONCATENATE(VLOOKUP(A79,TEAMS,2,FALSE),TEXT($B79,"00")),PLAYERS,L$1,FALSE)</f>
        <v>A</v>
      </c>
      <c r="M79" s="114" t="str">
        <f t="shared" ref="M79:M86" si="20">VLOOKUP(CONCATENATE(VLOOKUP(A79,TEAMS,2,FALSE),TEXT($B79,"00")),PLAYERS,M$1,FALSE)</f>
        <v>GPS</v>
      </c>
      <c r="N79" s="113" t="str">
        <f t="shared" ref="N79:N86" si="21">CONCATENATE(ABS(VLOOKUP(CONCATENATE(VLOOKUP(A79,TEAMS,2,FALSE),TEXT(B79,"00")),PLAYERS,5,FALSE)),"k")</f>
        <v>40k</v>
      </c>
    </row>
    <row r="80" spans="1:14" x14ac:dyDescent="0.25">
      <c r="A80" s="6" t="s">
        <v>100</v>
      </c>
      <c r="B80" s="6">
        <v>2</v>
      </c>
      <c r="D80" s="114" t="str">
        <f t="shared" si="11"/>
        <v>0-1</v>
      </c>
      <c r="E80" s="115" t="str">
        <f t="shared" si="12"/>
        <v>Bomma</v>
      </c>
      <c r="F80" s="113">
        <f t="shared" si="13"/>
        <v>6</v>
      </c>
      <c r="G80" s="113">
        <f t="shared" si="14"/>
        <v>2</v>
      </c>
      <c r="H80" s="113" t="str">
        <f t="shared" si="15"/>
        <v>3+</v>
      </c>
      <c r="I80" s="113" t="str">
        <f t="shared" si="16"/>
        <v>4+</v>
      </c>
      <c r="J80" s="113" t="str">
        <f t="shared" si="17"/>
        <v>8+</v>
      </c>
      <c r="K80" s="115" t="str">
        <f t="shared" si="18"/>
        <v>Bombardier, Dodge, Secret Weapon*, Stunty*</v>
      </c>
      <c r="L80" s="114" t="str">
        <f t="shared" si="19"/>
        <v>A</v>
      </c>
      <c r="M80" s="114" t="str">
        <f t="shared" si="20"/>
        <v>GPS</v>
      </c>
      <c r="N80" s="113" t="str">
        <f t="shared" si="21"/>
        <v>45k</v>
      </c>
    </row>
    <row r="81" spans="1:14" x14ac:dyDescent="0.25">
      <c r="A81" s="6" t="s">
        <v>100</v>
      </c>
      <c r="B81" s="6">
        <v>3</v>
      </c>
      <c r="D81" s="114" t="str">
        <f t="shared" si="11"/>
        <v>0-1</v>
      </c>
      <c r="E81" s="115" t="str">
        <f t="shared" si="12"/>
        <v>Looney</v>
      </c>
      <c r="F81" s="113">
        <f t="shared" si="13"/>
        <v>6</v>
      </c>
      <c r="G81" s="113">
        <f t="shared" si="14"/>
        <v>2</v>
      </c>
      <c r="H81" s="113" t="str">
        <f t="shared" si="15"/>
        <v>3+</v>
      </c>
      <c r="I81" s="113" t="str">
        <f t="shared" si="16"/>
        <v>-</v>
      </c>
      <c r="J81" s="113" t="str">
        <f t="shared" si="17"/>
        <v>8+</v>
      </c>
      <c r="K81" s="115" t="str">
        <f t="shared" si="18"/>
        <v>Chainsaw*, Secret Weapon*, Stunty*</v>
      </c>
      <c r="L81" s="114" t="str">
        <f t="shared" si="19"/>
        <v>A</v>
      </c>
      <c r="M81" s="114" t="str">
        <f t="shared" si="20"/>
        <v>GS</v>
      </c>
      <c r="N81" s="113" t="str">
        <f t="shared" si="21"/>
        <v>40k</v>
      </c>
    </row>
    <row r="82" spans="1:14" ht="30" x14ac:dyDescent="0.25">
      <c r="A82" s="6" t="s">
        <v>100</v>
      </c>
      <c r="B82" s="6">
        <v>4</v>
      </c>
      <c r="D82" s="114" t="str">
        <f t="shared" si="11"/>
        <v>0-1</v>
      </c>
      <c r="E82" s="115" t="str">
        <f t="shared" si="12"/>
        <v>Fanatic</v>
      </c>
      <c r="F82" s="113">
        <f t="shared" si="13"/>
        <v>3</v>
      </c>
      <c r="G82" s="113">
        <f t="shared" si="14"/>
        <v>7</v>
      </c>
      <c r="H82" s="113" t="str">
        <f t="shared" si="15"/>
        <v>3+</v>
      </c>
      <c r="I82" s="113" t="str">
        <f t="shared" si="16"/>
        <v>-</v>
      </c>
      <c r="J82" s="113" t="str">
        <f t="shared" si="17"/>
        <v>8+</v>
      </c>
      <c r="K82" s="115" t="str">
        <f t="shared" si="18"/>
        <v>Ball &amp; Chain*, No Hands*, Secret Weapon*, Stunty*</v>
      </c>
      <c r="L82" s="114" t="str">
        <f t="shared" si="19"/>
        <v>S</v>
      </c>
      <c r="M82" s="114" t="str">
        <f t="shared" si="20"/>
        <v>AG</v>
      </c>
      <c r="N82" s="113" t="str">
        <f t="shared" si="21"/>
        <v>70k</v>
      </c>
    </row>
    <row r="83" spans="1:14" x14ac:dyDescent="0.25">
      <c r="A83" s="6" t="s">
        <v>100</v>
      </c>
      <c r="B83" s="6">
        <v>5</v>
      </c>
      <c r="D83" s="114" t="str">
        <f t="shared" si="11"/>
        <v>0-1</v>
      </c>
      <c r="E83" s="115" t="str">
        <f t="shared" si="12"/>
        <v>Pogoer</v>
      </c>
      <c r="F83" s="113">
        <f t="shared" si="13"/>
        <v>7</v>
      </c>
      <c r="G83" s="113">
        <f t="shared" si="14"/>
        <v>2</v>
      </c>
      <c r="H83" s="113" t="str">
        <f t="shared" si="15"/>
        <v>3+</v>
      </c>
      <c r="I83" s="113" t="str">
        <f t="shared" si="16"/>
        <v>5+</v>
      </c>
      <c r="J83" s="113" t="str">
        <f t="shared" si="17"/>
        <v>8+</v>
      </c>
      <c r="K83" s="115" t="str">
        <f t="shared" si="18"/>
        <v>Dodge, Pogo Stick, Stunty*</v>
      </c>
      <c r="L83" s="114" t="str">
        <f t="shared" si="19"/>
        <v>A</v>
      </c>
      <c r="M83" s="114" t="str">
        <f t="shared" si="20"/>
        <v>GPS</v>
      </c>
      <c r="N83" s="113" t="str">
        <f t="shared" si="21"/>
        <v>75k</v>
      </c>
    </row>
    <row r="84" spans="1:14" ht="30" x14ac:dyDescent="0.25">
      <c r="A84" s="6" t="s">
        <v>100</v>
      </c>
      <c r="B84" s="6">
        <v>6</v>
      </c>
      <c r="D84" s="114" t="str">
        <f t="shared" si="11"/>
        <v>0-1</v>
      </c>
      <c r="E84" s="115" t="str">
        <f t="shared" si="12"/>
        <v>'Ooligan</v>
      </c>
      <c r="F84" s="113">
        <f t="shared" si="13"/>
        <v>6</v>
      </c>
      <c r="G84" s="113">
        <f t="shared" si="14"/>
        <v>2</v>
      </c>
      <c r="H84" s="113" t="str">
        <f t="shared" si="15"/>
        <v>3+</v>
      </c>
      <c r="I84" s="113" t="str">
        <f t="shared" si="16"/>
        <v>6+</v>
      </c>
      <c r="J84" s="113" t="str">
        <f t="shared" si="17"/>
        <v>8+</v>
      </c>
      <c r="K84" s="115" t="str">
        <f t="shared" si="18"/>
        <v>Dirty Player (+1), Disturbing Presence*, Dodge, Right Stuff*, Stunty*</v>
      </c>
      <c r="L84" s="114" t="str">
        <f t="shared" si="19"/>
        <v>A</v>
      </c>
      <c r="M84" s="114" t="str">
        <f t="shared" si="20"/>
        <v>GPS</v>
      </c>
      <c r="N84" s="113" t="str">
        <f t="shared" si="21"/>
        <v>65k</v>
      </c>
    </row>
    <row r="85" spans="1:14" x14ac:dyDescent="0.25">
      <c r="A85" s="6" t="s">
        <v>100</v>
      </c>
      <c r="B85" s="6">
        <v>7</v>
      </c>
      <c r="D85" s="114" t="str">
        <f t="shared" si="11"/>
        <v>0-1</v>
      </c>
      <c r="E85" s="115" t="str">
        <f t="shared" si="12"/>
        <v>Doom Diver</v>
      </c>
      <c r="F85" s="113">
        <f t="shared" si="13"/>
        <v>6</v>
      </c>
      <c r="G85" s="113">
        <f t="shared" si="14"/>
        <v>2</v>
      </c>
      <c r="H85" s="113" t="str">
        <f t="shared" si="15"/>
        <v>3+</v>
      </c>
      <c r="I85" s="113" t="str">
        <f t="shared" si="16"/>
        <v>6+</v>
      </c>
      <c r="J85" s="113" t="str">
        <f t="shared" si="17"/>
        <v>8+</v>
      </c>
      <c r="K85" s="115" t="str">
        <f t="shared" si="18"/>
        <v>Right Stuff*, Stunty*, Swoop</v>
      </c>
      <c r="L85" s="114" t="str">
        <f t="shared" si="19"/>
        <v>A</v>
      </c>
      <c r="M85" s="114" t="str">
        <f t="shared" si="20"/>
        <v>GS</v>
      </c>
      <c r="N85" s="113" t="str">
        <f t="shared" si="21"/>
        <v>60k</v>
      </c>
    </row>
    <row r="86" spans="1:14" ht="45" x14ac:dyDescent="0.25">
      <c r="A86" s="6" t="s">
        <v>100</v>
      </c>
      <c r="B86" s="6">
        <v>8</v>
      </c>
      <c r="D86" s="114" t="str">
        <f t="shared" si="11"/>
        <v>0-2</v>
      </c>
      <c r="E86" s="115" t="str">
        <f t="shared" si="12"/>
        <v>Trained Troll</v>
      </c>
      <c r="F86" s="113">
        <f t="shared" si="13"/>
        <v>4</v>
      </c>
      <c r="G86" s="113">
        <f t="shared" si="14"/>
        <v>5</v>
      </c>
      <c r="H86" s="113" t="str">
        <f t="shared" si="15"/>
        <v>5+</v>
      </c>
      <c r="I86" s="113" t="str">
        <f t="shared" si="16"/>
        <v>5+</v>
      </c>
      <c r="J86" s="113" t="str">
        <f t="shared" si="17"/>
        <v>10+</v>
      </c>
      <c r="K86" s="115" t="str">
        <f t="shared" si="18"/>
        <v>Always Hungry*, Loner (3+)*, Mighty Blow (+1), Projectile Vomit, Really Stupid*, Regeneration, Throw Team-mate</v>
      </c>
      <c r="L86" s="114" t="str">
        <f t="shared" si="19"/>
        <v>S</v>
      </c>
      <c r="M86" s="114" t="str">
        <f t="shared" si="20"/>
        <v>AGP</v>
      </c>
      <c r="N86" s="113" t="str">
        <f t="shared" si="21"/>
        <v>115k</v>
      </c>
    </row>
    <row r="87" spans="1:14" x14ac:dyDescent="0.25">
      <c r="D87" s="64" t="s">
        <v>676</v>
      </c>
      <c r="E87" s="64" t="str">
        <f>CONCATENATE(VLOOKUP(A77,TEAMS,5,FALSE),"k")</f>
        <v>60k</v>
      </c>
      <c r="F87" s="466" t="s">
        <v>680</v>
      </c>
      <c r="G87" s="471"/>
      <c r="H87" s="471"/>
      <c r="I87" s="467"/>
      <c r="J87" s="113" t="str">
        <f>VLOOKUP(A77,TEAMS,6,FALSE)</f>
        <v>Yes</v>
      </c>
      <c r="K87" s="468" t="s">
        <v>681</v>
      </c>
      <c r="L87" s="469"/>
      <c r="M87" s="470"/>
      <c r="N87" s="116">
        <f>VLOOKUP(A77,TEAMS,8,FALSE)</f>
        <v>5</v>
      </c>
    </row>
    <row r="88" spans="1:14" ht="32.25" customHeight="1" x14ac:dyDescent="0.25">
      <c r="D88" s="466" t="s">
        <v>682</v>
      </c>
      <c r="E88" s="467"/>
      <c r="F88" s="462" t="str">
        <f>IFERROR(VLOOKUP(LEFT(VLOOKUP(A82,TEAMS,7,FALSE),3),SpecialRules,3,FALSE) &amp; VLOOKUP(MID(VLOOKUP(A82,TEAMS,7,FALSE),4,3),SpecialRules,3,FALSE),"")</f>
        <v>Once per game, when rolling on the Argue the Call table, you may re-roll a roll of a natural 1. Bribes are 50,000 gold pieces each.</v>
      </c>
      <c r="G88" s="462"/>
      <c r="H88" s="462"/>
      <c r="I88" s="462"/>
      <c r="J88" s="462"/>
      <c r="K88" s="462"/>
      <c r="L88" s="462"/>
      <c r="M88" s="462"/>
      <c r="N88" s="462"/>
    </row>
    <row r="89" spans="1:14" x14ac:dyDescent="0.25">
      <c r="D89" s="465"/>
      <c r="E89" s="465"/>
      <c r="F89" s="465"/>
      <c r="G89" s="465"/>
      <c r="H89" s="465"/>
      <c r="I89" s="465"/>
      <c r="J89" s="465"/>
      <c r="K89" s="465"/>
      <c r="L89" s="465"/>
      <c r="M89" s="465"/>
      <c r="N89" s="465"/>
    </row>
    <row r="90" spans="1:14" ht="21" x14ac:dyDescent="0.35">
      <c r="A90" s="6" t="s">
        <v>702</v>
      </c>
      <c r="B90" s="6">
        <v>4</v>
      </c>
      <c r="D90" s="459" t="str">
        <f>A90</f>
        <v>Halfling</v>
      </c>
      <c r="E90" s="459"/>
      <c r="F90" s="459"/>
      <c r="G90" s="459"/>
      <c r="H90" s="459"/>
      <c r="I90" s="459"/>
      <c r="J90" s="459"/>
      <c r="K90" s="459"/>
      <c r="L90" s="459"/>
      <c r="M90" s="459"/>
      <c r="N90" s="459"/>
    </row>
    <row r="91" spans="1:14" x14ac:dyDescent="0.25">
      <c r="A91" s="6" t="s">
        <v>702</v>
      </c>
      <c r="D91" s="64" t="s">
        <v>952</v>
      </c>
      <c r="E91" s="64" t="s">
        <v>4</v>
      </c>
      <c r="F91" s="113" t="s">
        <v>5</v>
      </c>
      <c r="G91" s="113" t="s">
        <v>6</v>
      </c>
      <c r="H91" s="113" t="s">
        <v>7</v>
      </c>
      <c r="I91" s="113" t="s">
        <v>8</v>
      </c>
      <c r="J91" s="113" t="s">
        <v>9</v>
      </c>
      <c r="K91" s="64" t="s">
        <v>662</v>
      </c>
      <c r="L91" s="64" t="s">
        <v>674</v>
      </c>
      <c r="M91" s="64" t="s">
        <v>675</v>
      </c>
      <c r="N91" s="116" t="s">
        <v>879</v>
      </c>
    </row>
    <row r="92" spans="1:14" ht="30" x14ac:dyDescent="0.25">
      <c r="A92" s="6" t="s">
        <v>702</v>
      </c>
      <c r="B92" s="6">
        <v>1</v>
      </c>
      <c r="D92" s="114" t="str">
        <f>CONCATENATE("0-",VLOOKUP(CONCATENATE(VLOOKUP(A92,TEAMS,2,FALSE),TEXT(B92,"00")),PLAYERS,$D$1,FALSE),IF(VLOOKUP(CONCATENATE(VLOOKUP(A92,TEAMS,2,FALSE),TEXT(B92,"00")),PLAYERS,$D$1+1,FALSE)="BG"," *",""))</f>
        <v>0-16</v>
      </c>
      <c r="E92" s="115" t="str">
        <f>VLOOKUP(CONCATENATE(VLOOKUP(A92,TEAMS,2,FALSE),TEXT($B92,"00")),PLAYERS,E$1,FALSE)</f>
        <v>Halfling Hopeful Lineman</v>
      </c>
      <c r="F92" s="113">
        <f>VLOOKUP(CONCATENATE(VLOOKUP(A92,TEAMS,2,FALSE),TEXT($B92,"00")),PLAYERS,F$1,FALSE)</f>
        <v>5</v>
      </c>
      <c r="G92" s="113">
        <f>VLOOKUP(CONCATENATE(VLOOKUP(A92,TEAMS,2,FALSE),TEXT($B92,"00")),PLAYERS,G$1,FALSE)</f>
        <v>2</v>
      </c>
      <c r="H92" s="113" t="str">
        <f>CONCATENATE(VLOOKUP(CONCATENATE(VLOOKUP(A92,TEAMS,2,FALSE),TEXT($B92,"00")),PLAYERS,H$1,FALSE),"+")</f>
        <v>3+</v>
      </c>
      <c r="I92" s="113" t="str">
        <f>CONCATENATE(VLOOKUP(CONCATENATE(VLOOKUP(A92,TEAMS,2,FALSE),TEXT($B92,"00")),PLAYERS,I$1,FALSE),IF(VLOOKUP(CONCATENATE(VLOOKUP(A92,TEAMS,2,FALSE),TEXT($B92,"00")),PLAYERS,I$1,FALSE)="-","","+"))</f>
        <v>4+</v>
      </c>
      <c r="J92" s="113" t="str">
        <f>CONCATENATE(VLOOKUP(CONCATENATE(VLOOKUP(A92,TEAMS,2,FALSE),TEXT($B92,"00")),PLAYERS,J$1,FALSE),"+")</f>
        <v>7+</v>
      </c>
      <c r="K92" s="115" t="str">
        <f>VLOOKUP(CONCATENATE(VLOOKUP(A92,TEAMS,2,FALSE),TEXT($B92,"00")),PLAYERS,K$1,FALSE)</f>
        <v>Dodge, Right Stuff*, Stunty*</v>
      </c>
      <c r="L92" s="114" t="str">
        <f>VLOOKUP(CONCATENATE(VLOOKUP(A92,TEAMS,2,FALSE),TEXT($B92,"00")),PLAYERS,L$1,FALSE)</f>
        <v>A</v>
      </c>
      <c r="M92" s="114" t="str">
        <f>VLOOKUP(CONCATENATE(VLOOKUP(A92,TEAMS,2,FALSE),TEXT($B92,"00")),PLAYERS,M$1,FALSE)</f>
        <v>GS</v>
      </c>
      <c r="N92" s="113" t="str">
        <f>CONCATENATE(ABS(VLOOKUP(CONCATENATE(VLOOKUP(A92,TEAMS,2,FALSE),TEXT(B92,"00")),PLAYERS,5,FALSE)),"k")</f>
        <v>30k</v>
      </c>
    </row>
    <row r="93" spans="1:14" x14ac:dyDescent="0.25">
      <c r="A93" s="6" t="s">
        <v>702</v>
      </c>
      <c r="B93" s="6">
        <v>2</v>
      </c>
      <c r="D93" s="114" t="str">
        <f>CONCATENATE("0-",VLOOKUP(CONCATENATE(VLOOKUP(A93,TEAMS,2,FALSE),TEXT(B93,"00")),PLAYERS,$D$1,FALSE),IF(VLOOKUP(CONCATENATE(VLOOKUP(A93,TEAMS,2,FALSE),TEXT(B93,"00")),PLAYERS,$D$1+1,FALSE)="BG"," *",""))</f>
        <v>0-2</v>
      </c>
      <c r="E93" s="115" t="str">
        <f>VLOOKUP(CONCATENATE(VLOOKUP(A93,TEAMS,2,FALSE),TEXT($B93,"00")),PLAYERS,E$1,FALSE)</f>
        <v>Halfling Hefty</v>
      </c>
      <c r="F93" s="113">
        <f>VLOOKUP(CONCATENATE(VLOOKUP(A93,TEAMS,2,FALSE),TEXT($B93,"00")),PLAYERS,F$1,FALSE)</f>
        <v>5</v>
      </c>
      <c r="G93" s="113">
        <f>VLOOKUP(CONCATENATE(VLOOKUP(A93,TEAMS,2,FALSE),TEXT($B93,"00")),PLAYERS,G$1,FALSE)</f>
        <v>2</v>
      </c>
      <c r="H93" s="113" t="str">
        <f>CONCATENATE(VLOOKUP(CONCATENATE(VLOOKUP(A93,TEAMS,2,FALSE),TEXT($B93,"00")),PLAYERS,H$1,FALSE),"+")</f>
        <v>3+</v>
      </c>
      <c r="I93" s="113" t="str">
        <f>CONCATENATE(VLOOKUP(CONCATENATE(VLOOKUP(A93,TEAMS,2,FALSE),TEXT($B93,"00")),PLAYERS,I$1,FALSE),IF(VLOOKUP(CONCATENATE(VLOOKUP(A93,TEAMS,2,FALSE),TEXT($B93,"00")),PLAYERS,I$1,FALSE)="-","","+"))</f>
        <v>3+</v>
      </c>
      <c r="J93" s="113" t="str">
        <f>CONCATENATE(VLOOKUP(CONCATENATE(VLOOKUP(A93,TEAMS,2,FALSE),TEXT($B93,"00")),PLAYERS,J$1,FALSE),"+")</f>
        <v>8+</v>
      </c>
      <c r="K93" s="115" t="str">
        <f>VLOOKUP(CONCATENATE(VLOOKUP(A93,TEAMS,2,FALSE),TEXT($B93,"00")),PLAYERS,K$1,FALSE)</f>
        <v>Dodge, Fend, Stunty*</v>
      </c>
      <c r="L93" s="114" t="str">
        <f>VLOOKUP(CONCATENATE(VLOOKUP(A93,TEAMS,2,FALSE),TEXT($B93,"00")),PLAYERS,L$1,FALSE)</f>
        <v>AP</v>
      </c>
      <c r="M93" s="114" t="str">
        <f>VLOOKUP(CONCATENATE(VLOOKUP(A93,TEAMS,2,FALSE),TEXT($B93,"00")),PLAYERS,M$1,FALSE)</f>
        <v>GS</v>
      </c>
      <c r="N93" s="113" t="str">
        <f>CONCATENATE(ABS(VLOOKUP(CONCATENATE(VLOOKUP(A93,TEAMS,2,FALSE),TEXT(B93,"00")),PLAYERS,5,FALSE)),"k")</f>
        <v>50k</v>
      </c>
    </row>
    <row r="94" spans="1:14" x14ac:dyDescent="0.25">
      <c r="A94" s="6" t="s">
        <v>702</v>
      </c>
      <c r="B94" s="6">
        <v>3</v>
      </c>
      <c r="D94" s="114" t="str">
        <f>CONCATENATE("0-",VLOOKUP(CONCATENATE(VLOOKUP(A94,TEAMS,2,FALSE),TEXT(B94,"00")),PLAYERS,$D$1,FALSE),IF(VLOOKUP(CONCATENATE(VLOOKUP(A94,TEAMS,2,FALSE),TEXT(B94,"00")),PLAYERS,$D$1+1,FALSE)="BG"," *",""))</f>
        <v>0-2</v>
      </c>
      <c r="E94" s="115" t="str">
        <f>VLOOKUP(CONCATENATE(VLOOKUP(A94,TEAMS,2,FALSE),TEXT($B94,"00")),PLAYERS,E$1,FALSE)</f>
        <v>Halfling Catcher</v>
      </c>
      <c r="F94" s="113">
        <f>VLOOKUP(CONCATENATE(VLOOKUP(A94,TEAMS,2,FALSE),TEXT($B94,"00")),PLAYERS,F$1,FALSE)</f>
        <v>5</v>
      </c>
      <c r="G94" s="113">
        <f>VLOOKUP(CONCATENATE(VLOOKUP(A94,TEAMS,2,FALSE),TEXT($B94,"00")),PLAYERS,G$1,FALSE)</f>
        <v>2</v>
      </c>
      <c r="H94" s="113" t="str">
        <f>CONCATENATE(VLOOKUP(CONCATENATE(VLOOKUP(A94,TEAMS,2,FALSE),TEXT($B94,"00")),PLAYERS,H$1,FALSE),"+")</f>
        <v>3+</v>
      </c>
      <c r="I94" s="113" t="str">
        <f>CONCATENATE(VLOOKUP(CONCATENATE(VLOOKUP(A94,TEAMS,2,FALSE),TEXT($B94,"00")),PLAYERS,I$1,FALSE),IF(VLOOKUP(CONCATENATE(VLOOKUP(A94,TEAMS,2,FALSE),TEXT($B94,"00")),PLAYERS,I$1,FALSE)="-","","+"))</f>
        <v>5+</v>
      </c>
      <c r="J94" s="113" t="str">
        <f>CONCATENATE(VLOOKUP(CONCATENATE(VLOOKUP(A94,TEAMS,2,FALSE),TEXT($B94,"00")),PLAYERS,J$1,FALSE),"+")</f>
        <v>7+</v>
      </c>
      <c r="K94" s="115" t="str">
        <f>VLOOKUP(CONCATENATE(VLOOKUP(A94,TEAMS,2,FALSE),TEXT($B94,"00")),PLAYERS,K$1,FALSE)</f>
        <v>Catch, Dodge, Right Stuff*, Sprint, Stunty*</v>
      </c>
      <c r="L94" s="114" t="str">
        <f>VLOOKUP(CONCATENATE(VLOOKUP(A94,TEAMS,2,FALSE),TEXT($B94,"00")),PLAYERS,L$1,FALSE)</f>
        <v>A</v>
      </c>
      <c r="M94" s="114" t="str">
        <f>VLOOKUP(CONCATENATE(VLOOKUP(A94,TEAMS,2,FALSE),TEXT($B94,"00")),PLAYERS,M$1,FALSE)</f>
        <v>GS</v>
      </c>
      <c r="N94" s="113" t="str">
        <f>CONCATENATE(ABS(VLOOKUP(CONCATENATE(VLOOKUP(A94,TEAMS,2,FALSE),TEXT(B94,"00")),PLAYERS,5,FALSE)),"k")</f>
        <v>55k</v>
      </c>
    </row>
    <row r="95" spans="1:14" ht="45" x14ac:dyDescent="0.25">
      <c r="A95" s="6" t="s">
        <v>702</v>
      </c>
      <c r="B95" s="6">
        <v>4</v>
      </c>
      <c r="D95" s="114" t="str">
        <f>CONCATENATE("0-",VLOOKUP(CONCATENATE(VLOOKUP(A95,TEAMS,2,FALSE),TEXT(B95,"00")),PLAYERS,$D$1,FALSE),IF(VLOOKUP(CONCATENATE(VLOOKUP(A95,TEAMS,2,FALSE),TEXT(B95,"00")),PLAYERS,$D$1+1,FALSE)="BG"," *",""))</f>
        <v>0-2</v>
      </c>
      <c r="E95" s="115" t="str">
        <f>VLOOKUP(CONCATENATE(VLOOKUP(A95,TEAMS,2,FALSE),TEXT($B95,"00")),PLAYERS,E$1,FALSE)</f>
        <v>Altern Forest Treeman</v>
      </c>
      <c r="F95" s="113">
        <f>VLOOKUP(CONCATENATE(VLOOKUP(A95,TEAMS,2,FALSE),TEXT($B95,"00")),PLAYERS,F$1,FALSE)</f>
        <v>2</v>
      </c>
      <c r="G95" s="113">
        <f>VLOOKUP(CONCATENATE(VLOOKUP(A95,TEAMS,2,FALSE),TEXT($B95,"00")),PLAYERS,G$1,FALSE)</f>
        <v>6</v>
      </c>
      <c r="H95" s="113" t="str">
        <f>CONCATENATE(VLOOKUP(CONCATENATE(VLOOKUP(A95,TEAMS,2,FALSE),TEXT($B95,"00")),PLAYERS,H$1,FALSE),"+")</f>
        <v>5+</v>
      </c>
      <c r="I95" s="113" t="str">
        <f>CONCATENATE(VLOOKUP(CONCATENATE(VLOOKUP(A95,TEAMS,2,FALSE),TEXT($B95,"00")),PLAYERS,I$1,FALSE),IF(VLOOKUP(CONCATENATE(VLOOKUP(A95,TEAMS,2,FALSE),TEXT($B95,"00")),PLAYERS,I$1,FALSE)="-","","+"))</f>
        <v>5+</v>
      </c>
      <c r="J95" s="113" t="str">
        <f>CONCATENATE(VLOOKUP(CONCATENATE(VLOOKUP(A95,TEAMS,2,FALSE),TEXT($B95,"00")),PLAYERS,J$1,FALSE),"+")</f>
        <v>11+</v>
      </c>
      <c r="K95" s="115" t="str">
        <f>VLOOKUP(CONCATENATE(VLOOKUP(A95,TEAMS,2,FALSE),TEXT($B95,"00")),PLAYERS,K$1,FALSE)</f>
        <v>Mighty Blow (+1), Stand Firm, Strong Arm, Take Root*, Thick Skull, Throw Team-mate, Timmm-ber!</v>
      </c>
      <c r="L95" s="114" t="str">
        <f>VLOOKUP(CONCATENATE(VLOOKUP(A95,TEAMS,2,FALSE),TEXT($B95,"00")),PLAYERS,L$1,FALSE)</f>
        <v>S</v>
      </c>
      <c r="M95" s="114" t="str">
        <f>VLOOKUP(CONCATENATE(VLOOKUP(A95,TEAMS,2,FALSE),TEXT($B95,"00")),PLAYERS,M$1,FALSE)</f>
        <v>AGP</v>
      </c>
      <c r="N95" s="113" t="str">
        <f>CONCATENATE(ABS(VLOOKUP(CONCATENATE(VLOOKUP(A95,TEAMS,2,FALSE),TEXT(B95,"00")),PLAYERS,5,FALSE)),"k")</f>
        <v>120k</v>
      </c>
    </row>
    <row r="96" spans="1:14" x14ac:dyDescent="0.25">
      <c r="D96" s="64" t="s">
        <v>676</v>
      </c>
      <c r="E96" s="64" t="str">
        <f>CONCATENATE(VLOOKUP(A90,TEAMS,5,FALSE),"k")</f>
        <v>60k</v>
      </c>
      <c r="F96" s="466" t="s">
        <v>680</v>
      </c>
      <c r="G96" s="471"/>
      <c r="H96" s="471"/>
      <c r="I96" s="467"/>
      <c r="J96" s="113" t="str">
        <f>VLOOKUP(A90,TEAMS,6,FALSE)</f>
        <v>Yes</v>
      </c>
      <c r="K96" s="468" t="s">
        <v>681</v>
      </c>
      <c r="L96" s="469"/>
      <c r="M96" s="470"/>
      <c r="N96" s="116">
        <f>VLOOKUP(A90,TEAMS,8,FALSE)</f>
        <v>5</v>
      </c>
    </row>
    <row r="97" spans="1:14" ht="15" customHeight="1" x14ac:dyDescent="0.25">
      <c r="D97" s="466" t="s">
        <v>682</v>
      </c>
      <c r="E97" s="467"/>
      <c r="F97" s="462" t="str">
        <f>IFERROR(VLOOKUP(LEFT(VLOOKUP(A91,TEAMS,7,FALSE),3),SpecialRules,3,FALSE) &amp; VLOOKUP(MID(VLOOKUP(A91,TEAMS,7,FALSE),4,3),SpecialRules,3,FALSE),"")</f>
        <v>A Master Chef costs only 100,000 gold pieces.</v>
      </c>
      <c r="G97" s="462"/>
      <c r="H97" s="462"/>
      <c r="I97" s="462"/>
      <c r="J97" s="462"/>
      <c r="K97" s="462"/>
      <c r="L97" s="462"/>
      <c r="M97" s="462"/>
      <c r="N97" s="462"/>
    </row>
    <row r="98" spans="1:14" x14ac:dyDescent="0.25">
      <c r="D98" s="465"/>
      <c r="E98" s="465"/>
      <c r="F98" s="465"/>
      <c r="G98" s="465"/>
      <c r="H98" s="465"/>
      <c r="I98" s="465"/>
      <c r="J98" s="465"/>
      <c r="K98" s="465"/>
      <c r="L98" s="465"/>
      <c r="M98" s="465"/>
      <c r="N98" s="465"/>
    </row>
    <row r="99" spans="1:14" ht="21" x14ac:dyDescent="0.35">
      <c r="A99" s="6" t="s">
        <v>102</v>
      </c>
      <c r="B99" s="6">
        <v>6</v>
      </c>
      <c r="D99" s="459" t="str">
        <f>A99</f>
        <v>Human</v>
      </c>
      <c r="E99" s="459"/>
      <c r="F99" s="459"/>
      <c r="G99" s="459"/>
      <c r="H99" s="459"/>
      <c r="I99" s="459"/>
      <c r="J99" s="459"/>
      <c r="K99" s="459"/>
      <c r="L99" s="459"/>
      <c r="M99" s="459"/>
      <c r="N99" s="459"/>
    </row>
    <row r="100" spans="1:14" x14ac:dyDescent="0.25">
      <c r="A100" s="6" t="s">
        <v>102</v>
      </c>
      <c r="D100" s="64" t="s">
        <v>952</v>
      </c>
      <c r="E100" s="64" t="s">
        <v>4</v>
      </c>
      <c r="F100" s="113" t="s">
        <v>5</v>
      </c>
      <c r="G100" s="113" t="s">
        <v>6</v>
      </c>
      <c r="H100" s="113" t="s">
        <v>7</v>
      </c>
      <c r="I100" s="113" t="s">
        <v>8</v>
      </c>
      <c r="J100" s="113" t="s">
        <v>9</v>
      </c>
      <c r="K100" s="64" t="s">
        <v>662</v>
      </c>
      <c r="L100" s="64" t="s">
        <v>674</v>
      </c>
      <c r="M100" s="64" t="s">
        <v>675</v>
      </c>
      <c r="N100" s="116" t="s">
        <v>879</v>
      </c>
    </row>
    <row r="101" spans="1:14" x14ac:dyDescent="0.25">
      <c r="A101" s="6" t="s">
        <v>102</v>
      </c>
      <c r="B101" s="6">
        <v>1</v>
      </c>
      <c r="D101" s="114" t="str">
        <f t="shared" ref="D101:D106" si="22">CONCATENATE("0-",VLOOKUP(CONCATENATE(VLOOKUP(A101,TEAMS,2,FALSE),TEXT(B101,"00")),PLAYERS,$D$1,FALSE),IF(VLOOKUP(CONCATENATE(VLOOKUP(A101,TEAMS,2,FALSE),TEXT(B101,"00")),PLAYERS,$D$1+1,FALSE)="BG"," *",""))</f>
        <v>0-16</v>
      </c>
      <c r="E101" s="115" t="str">
        <f t="shared" ref="E101:E106" si="23">VLOOKUP(CONCATENATE(VLOOKUP(A101,TEAMS,2,FALSE),TEXT($B101,"00")),PLAYERS,E$1,FALSE)</f>
        <v>Human Lineman</v>
      </c>
      <c r="F101" s="113">
        <f t="shared" ref="F101:F106" si="24">VLOOKUP(CONCATENATE(VLOOKUP(A101,TEAMS,2,FALSE),TEXT($B101,"00")),PLAYERS,F$1,FALSE)</f>
        <v>6</v>
      </c>
      <c r="G101" s="113">
        <f t="shared" ref="G101:G106" si="25">VLOOKUP(CONCATENATE(VLOOKUP(A101,TEAMS,2,FALSE),TEXT($B101,"00")),PLAYERS,G$1,FALSE)</f>
        <v>3</v>
      </c>
      <c r="H101" s="113" t="str">
        <f t="shared" ref="H101:H106" si="26">CONCATENATE(VLOOKUP(CONCATENATE(VLOOKUP(A101,TEAMS,2,FALSE),TEXT($B101,"00")),PLAYERS,H$1,FALSE),"+")</f>
        <v>3+</v>
      </c>
      <c r="I101" s="113" t="str">
        <f t="shared" ref="I101:I106" si="27">CONCATENATE(VLOOKUP(CONCATENATE(VLOOKUP(A101,TEAMS,2,FALSE),TEXT($B101,"00")),PLAYERS,I$1,FALSE),IF(VLOOKUP(CONCATENATE(VLOOKUP(A101,TEAMS,2,FALSE),TEXT($B101,"00")),PLAYERS,I$1,FALSE)="-","","+"))</f>
        <v>4+</v>
      </c>
      <c r="J101" s="113" t="str">
        <f t="shared" ref="J101:J106" si="28">CONCATENATE(VLOOKUP(CONCATENATE(VLOOKUP(A101,TEAMS,2,FALSE),TEXT($B101,"00")),PLAYERS,J$1,FALSE),"+")</f>
        <v>9+</v>
      </c>
      <c r="K101" s="115" t="str">
        <f t="shared" ref="K101:K106" si="29">VLOOKUP(CONCATENATE(VLOOKUP(A101,TEAMS,2,FALSE),TEXT($B101,"00")),PLAYERS,K$1,FALSE)</f>
        <v>None</v>
      </c>
      <c r="L101" s="114" t="str">
        <f t="shared" ref="L101:L106" si="30">VLOOKUP(CONCATENATE(VLOOKUP(A101,TEAMS,2,FALSE),TEXT($B101,"00")),PLAYERS,L$1,FALSE)</f>
        <v>G</v>
      </c>
      <c r="M101" s="114" t="str">
        <f t="shared" ref="M101:M106" si="31">VLOOKUP(CONCATENATE(VLOOKUP(A101,TEAMS,2,FALSE),TEXT($B101,"00")),PLAYERS,M$1,FALSE)</f>
        <v>AS</v>
      </c>
      <c r="N101" s="113" t="str">
        <f t="shared" ref="N101:N106" si="32">CONCATENATE(ABS(VLOOKUP(CONCATENATE(VLOOKUP(A101,TEAMS,2,FALSE),TEXT(B101,"00")),PLAYERS,5,FALSE)),"k")</f>
        <v>50k</v>
      </c>
    </row>
    <row r="102" spans="1:14" x14ac:dyDescent="0.25">
      <c r="A102" s="6" t="s">
        <v>102</v>
      </c>
      <c r="B102" s="6">
        <v>2</v>
      </c>
      <c r="D102" s="114" t="str">
        <f t="shared" si="22"/>
        <v>0-2</v>
      </c>
      <c r="E102" s="115" t="str">
        <f t="shared" si="23"/>
        <v>Human Thrower</v>
      </c>
      <c r="F102" s="113">
        <f t="shared" si="24"/>
        <v>6</v>
      </c>
      <c r="G102" s="113">
        <f t="shared" si="25"/>
        <v>3</v>
      </c>
      <c r="H102" s="113" t="str">
        <f t="shared" si="26"/>
        <v>3+</v>
      </c>
      <c r="I102" s="113" t="str">
        <f t="shared" si="27"/>
        <v>2+</v>
      </c>
      <c r="J102" s="113" t="str">
        <f t="shared" si="28"/>
        <v>9+</v>
      </c>
      <c r="K102" s="115" t="str">
        <f t="shared" si="29"/>
        <v>Pass, Sure Hands</v>
      </c>
      <c r="L102" s="114" t="str">
        <f t="shared" si="30"/>
        <v>GP</v>
      </c>
      <c r="M102" s="114" t="str">
        <f t="shared" si="31"/>
        <v>AS</v>
      </c>
      <c r="N102" s="113" t="str">
        <f t="shared" si="32"/>
        <v>80k</v>
      </c>
    </row>
    <row r="103" spans="1:14" x14ac:dyDescent="0.25">
      <c r="A103" s="6" t="s">
        <v>102</v>
      </c>
      <c r="B103" s="6">
        <v>3</v>
      </c>
      <c r="D103" s="114" t="str">
        <f t="shared" si="22"/>
        <v>0-4</v>
      </c>
      <c r="E103" s="115" t="str">
        <f t="shared" si="23"/>
        <v>Human Catcher</v>
      </c>
      <c r="F103" s="113">
        <f t="shared" si="24"/>
        <v>8</v>
      </c>
      <c r="G103" s="113">
        <f t="shared" si="25"/>
        <v>2</v>
      </c>
      <c r="H103" s="113" t="str">
        <f t="shared" si="26"/>
        <v>3+</v>
      </c>
      <c r="I103" s="113" t="str">
        <f t="shared" si="27"/>
        <v>5+</v>
      </c>
      <c r="J103" s="113" t="str">
        <f t="shared" si="28"/>
        <v>8+</v>
      </c>
      <c r="K103" s="115" t="str">
        <f t="shared" si="29"/>
        <v>Catch, Dodge</v>
      </c>
      <c r="L103" s="114" t="str">
        <f t="shared" si="30"/>
        <v>AG</v>
      </c>
      <c r="M103" s="114" t="str">
        <f t="shared" si="31"/>
        <v>SP</v>
      </c>
      <c r="N103" s="113" t="str">
        <f t="shared" si="32"/>
        <v>65k</v>
      </c>
    </row>
    <row r="104" spans="1:14" x14ac:dyDescent="0.25">
      <c r="A104" s="6" t="s">
        <v>102</v>
      </c>
      <c r="B104" s="6">
        <v>4</v>
      </c>
      <c r="D104" s="114" t="str">
        <f t="shared" si="22"/>
        <v>0-4</v>
      </c>
      <c r="E104" s="115" t="str">
        <f t="shared" si="23"/>
        <v>Human Blitzer</v>
      </c>
      <c r="F104" s="113">
        <f t="shared" si="24"/>
        <v>7</v>
      </c>
      <c r="G104" s="113">
        <f t="shared" si="25"/>
        <v>3</v>
      </c>
      <c r="H104" s="113" t="str">
        <f t="shared" si="26"/>
        <v>3+</v>
      </c>
      <c r="I104" s="113" t="str">
        <f t="shared" si="27"/>
        <v>4+</v>
      </c>
      <c r="J104" s="113" t="str">
        <f t="shared" si="28"/>
        <v>9+</v>
      </c>
      <c r="K104" s="115" t="str">
        <f t="shared" si="29"/>
        <v>Block</v>
      </c>
      <c r="L104" s="114" t="str">
        <f t="shared" si="30"/>
        <v>GS</v>
      </c>
      <c r="M104" s="114" t="str">
        <f t="shared" si="31"/>
        <v>SP</v>
      </c>
      <c r="N104" s="113" t="str">
        <f t="shared" si="32"/>
        <v>85k</v>
      </c>
    </row>
    <row r="105" spans="1:14" x14ac:dyDescent="0.25">
      <c r="A105" s="6" t="s">
        <v>102</v>
      </c>
      <c r="B105" s="6">
        <v>5</v>
      </c>
      <c r="D105" s="114" t="str">
        <f t="shared" si="22"/>
        <v>0-3</v>
      </c>
      <c r="E105" s="115" t="str">
        <f t="shared" si="23"/>
        <v>Halfling Hopeful</v>
      </c>
      <c r="F105" s="113">
        <f t="shared" si="24"/>
        <v>5</v>
      </c>
      <c r="G105" s="113">
        <f t="shared" si="25"/>
        <v>2</v>
      </c>
      <c r="H105" s="113" t="str">
        <f t="shared" si="26"/>
        <v>3+</v>
      </c>
      <c r="I105" s="113" t="str">
        <f t="shared" si="27"/>
        <v>4+</v>
      </c>
      <c r="J105" s="113" t="str">
        <f t="shared" si="28"/>
        <v>7+</v>
      </c>
      <c r="K105" s="115" t="str">
        <f t="shared" si="29"/>
        <v>Dodge, Right Stuff*, Stunty*</v>
      </c>
      <c r="L105" s="114" t="str">
        <f t="shared" si="30"/>
        <v>A</v>
      </c>
      <c r="M105" s="114" t="str">
        <f t="shared" si="31"/>
        <v>GS</v>
      </c>
      <c r="N105" s="113" t="str">
        <f t="shared" si="32"/>
        <v>30k</v>
      </c>
    </row>
    <row r="106" spans="1:14" ht="30" x14ac:dyDescent="0.25">
      <c r="A106" s="6" t="s">
        <v>102</v>
      </c>
      <c r="B106" s="6">
        <v>6</v>
      </c>
      <c r="D106" s="114" t="str">
        <f t="shared" si="22"/>
        <v>0-1</v>
      </c>
      <c r="E106" s="115" t="str">
        <f t="shared" si="23"/>
        <v>Ogre</v>
      </c>
      <c r="F106" s="113">
        <f t="shared" si="24"/>
        <v>5</v>
      </c>
      <c r="G106" s="113">
        <f t="shared" si="25"/>
        <v>5</v>
      </c>
      <c r="H106" s="113" t="str">
        <f t="shared" si="26"/>
        <v>4+</v>
      </c>
      <c r="I106" s="113" t="str">
        <f t="shared" si="27"/>
        <v>5+</v>
      </c>
      <c r="J106" s="113" t="str">
        <f t="shared" si="28"/>
        <v>10+</v>
      </c>
      <c r="K106" s="115" t="str">
        <f t="shared" si="29"/>
        <v>Bone Head*, Loner (4+)*, Mighty Blow (+1), Thick Skull, Throw Team-mate</v>
      </c>
      <c r="L106" s="114" t="str">
        <f t="shared" si="30"/>
        <v>S</v>
      </c>
      <c r="M106" s="114" t="str">
        <f t="shared" si="31"/>
        <v>AG</v>
      </c>
      <c r="N106" s="113" t="str">
        <f t="shared" si="32"/>
        <v>140k</v>
      </c>
    </row>
    <row r="107" spans="1:14" x14ac:dyDescent="0.25">
      <c r="D107" s="64" t="s">
        <v>676</v>
      </c>
      <c r="E107" s="64" t="str">
        <f>CONCATENATE(VLOOKUP(A99,TEAMS,5,FALSE),"k")</f>
        <v>50k</v>
      </c>
      <c r="F107" s="466" t="s">
        <v>680</v>
      </c>
      <c r="G107" s="471"/>
      <c r="H107" s="471"/>
      <c r="I107" s="467"/>
      <c r="J107" s="113" t="str">
        <f>VLOOKUP(A99,TEAMS,6,FALSE)</f>
        <v>Yes</v>
      </c>
      <c r="K107" s="468" t="s">
        <v>681</v>
      </c>
      <c r="L107" s="469"/>
      <c r="M107" s="470"/>
      <c r="N107" s="116">
        <f>VLOOKUP(A99,TEAMS,8,FALSE)</f>
        <v>1</v>
      </c>
    </row>
    <row r="108" spans="1:14" ht="15" customHeight="1" x14ac:dyDescent="0.25">
      <c r="D108" s="466" t="s">
        <v>682</v>
      </c>
      <c r="E108" s="467"/>
      <c r="F108" s="462" t="str">
        <f>IFERROR(VLOOKUP(LEFT(VLOOKUP(A102,TEAMS,7,FALSE),3),SpecialRules,3,FALSE) &amp; VLOOKUP(MID(VLOOKUP(A102,TEAMS,7,FALSE),4,3),SpecialRules,3,FALSE),"")</f>
        <v/>
      </c>
      <c r="G108" s="462"/>
      <c r="H108" s="462"/>
      <c r="I108" s="462"/>
      <c r="J108" s="462"/>
      <c r="K108" s="462"/>
      <c r="L108" s="462"/>
      <c r="M108" s="462"/>
      <c r="N108" s="462"/>
    </row>
    <row r="109" spans="1:14" x14ac:dyDescent="0.25">
      <c r="D109" s="465"/>
      <c r="E109" s="465"/>
      <c r="F109" s="465"/>
      <c r="G109" s="465"/>
      <c r="H109" s="465"/>
      <c r="I109" s="465"/>
      <c r="J109" s="465"/>
      <c r="K109" s="465"/>
      <c r="L109" s="465"/>
      <c r="M109" s="465"/>
      <c r="N109" s="465"/>
    </row>
    <row r="110" spans="1:14" ht="21" x14ac:dyDescent="0.35">
      <c r="A110" s="6" t="s">
        <v>103</v>
      </c>
      <c r="B110" s="6">
        <v>5</v>
      </c>
      <c r="D110" s="459" t="str">
        <f>A110</f>
        <v>Imperial Nobility</v>
      </c>
      <c r="E110" s="459"/>
      <c r="F110" s="459"/>
      <c r="G110" s="459"/>
      <c r="H110" s="459"/>
      <c r="I110" s="459"/>
      <c r="J110" s="459"/>
      <c r="K110" s="459"/>
      <c r="L110" s="459"/>
      <c r="M110" s="459"/>
      <c r="N110" s="459"/>
    </row>
    <row r="111" spans="1:14" x14ac:dyDescent="0.25">
      <c r="A111" s="6" t="s">
        <v>103</v>
      </c>
      <c r="D111" s="64" t="s">
        <v>952</v>
      </c>
      <c r="E111" s="64" t="s">
        <v>4</v>
      </c>
      <c r="F111" s="113" t="s">
        <v>5</v>
      </c>
      <c r="G111" s="113" t="s">
        <v>6</v>
      </c>
      <c r="H111" s="113" t="s">
        <v>7</v>
      </c>
      <c r="I111" s="113" t="s">
        <v>8</v>
      </c>
      <c r="J111" s="113" t="s">
        <v>9</v>
      </c>
      <c r="K111" s="64" t="s">
        <v>662</v>
      </c>
      <c r="L111" s="64" t="s">
        <v>674</v>
      </c>
      <c r="M111" s="64" t="s">
        <v>675</v>
      </c>
      <c r="N111" s="116" t="s">
        <v>879</v>
      </c>
    </row>
    <row r="112" spans="1:14" ht="30" x14ac:dyDescent="0.25">
      <c r="A112" s="6" t="s">
        <v>103</v>
      </c>
      <c r="B112" s="6">
        <v>1</v>
      </c>
      <c r="D112" s="114" t="str">
        <f>CONCATENATE("0-",VLOOKUP(CONCATENATE(VLOOKUP(A112,TEAMS,2,FALSE),TEXT(B112,"00")),PLAYERS,$D$1,FALSE),IF(VLOOKUP(CONCATENATE(VLOOKUP(A112,TEAMS,2,FALSE),TEXT(B112,"00")),PLAYERS,$D$1+1,FALSE)="BG"," *",""))</f>
        <v>0-12</v>
      </c>
      <c r="E112" s="115" t="str">
        <f>VLOOKUP(CONCATENATE(VLOOKUP(A112,TEAMS,2,FALSE),TEXT($B112,"00")),PLAYERS,E$1,FALSE)</f>
        <v>Imperial Retainer Lineman</v>
      </c>
      <c r="F112" s="113">
        <f>VLOOKUP(CONCATENATE(VLOOKUP(A112,TEAMS,2,FALSE),TEXT($B112,"00")),PLAYERS,F$1,FALSE)</f>
        <v>6</v>
      </c>
      <c r="G112" s="113">
        <f>VLOOKUP(CONCATENATE(VLOOKUP(A112,TEAMS,2,FALSE),TEXT($B112,"00")),PLAYERS,G$1,FALSE)</f>
        <v>3</v>
      </c>
      <c r="H112" s="113" t="str">
        <f>CONCATENATE(VLOOKUP(CONCATENATE(VLOOKUP(A112,TEAMS,2,FALSE),TEXT($B112,"00")),PLAYERS,H$1,FALSE),"+")</f>
        <v>4+</v>
      </c>
      <c r="I112" s="113" t="str">
        <f>CONCATENATE(VLOOKUP(CONCATENATE(VLOOKUP(A112,TEAMS,2,FALSE),TEXT($B112,"00")),PLAYERS,I$1,FALSE),IF(VLOOKUP(CONCATENATE(VLOOKUP(A112,TEAMS,2,FALSE),TEXT($B112,"00")),PLAYERS,I$1,FALSE)="-","","+"))</f>
        <v>4+</v>
      </c>
      <c r="J112" s="113" t="str">
        <f>CONCATENATE(VLOOKUP(CONCATENATE(VLOOKUP(A112,TEAMS,2,FALSE),TEXT($B112,"00")),PLAYERS,J$1,FALSE),"+")</f>
        <v>8+</v>
      </c>
      <c r="K112" s="115" t="str">
        <f>VLOOKUP(CONCATENATE(VLOOKUP(A112,TEAMS,2,FALSE),TEXT($B112,"00")),PLAYERS,K$1,FALSE)</f>
        <v>Fend</v>
      </c>
      <c r="L112" s="114" t="str">
        <f>VLOOKUP(CONCATENATE(VLOOKUP(A112,TEAMS,2,FALSE),TEXT($B112,"00")),PLAYERS,L$1,FALSE)</f>
        <v>G</v>
      </c>
      <c r="M112" s="114" t="str">
        <f>VLOOKUP(CONCATENATE(VLOOKUP(A112,TEAMS,2,FALSE),TEXT($B112,"00")),PLAYERS,M$1,FALSE)</f>
        <v>AS</v>
      </c>
      <c r="N112" s="113" t="str">
        <f>CONCATENATE(ABS(VLOOKUP(CONCATENATE(VLOOKUP(A112,TEAMS,2,FALSE),TEXT(B112,"00")),PLAYERS,5,FALSE)),"k")</f>
        <v>45k</v>
      </c>
    </row>
    <row r="113" spans="1:14" x14ac:dyDescent="0.25">
      <c r="A113" s="6" t="s">
        <v>103</v>
      </c>
      <c r="B113" s="6">
        <v>2</v>
      </c>
      <c r="D113" s="114" t="str">
        <f>CONCATENATE("0-",VLOOKUP(CONCATENATE(VLOOKUP(A113,TEAMS,2,FALSE),TEXT(B113,"00")),PLAYERS,$D$1,FALSE),IF(VLOOKUP(CONCATENATE(VLOOKUP(A113,TEAMS,2,FALSE),TEXT(B113,"00")),PLAYERS,$D$1+1,FALSE)="BG"," *",""))</f>
        <v>0-2</v>
      </c>
      <c r="E113" s="115" t="str">
        <f>VLOOKUP(CONCATENATE(VLOOKUP(A113,TEAMS,2,FALSE),TEXT($B113,"00")),PLAYERS,E$1,FALSE)</f>
        <v>Imperial Thrower</v>
      </c>
      <c r="F113" s="113">
        <f>VLOOKUP(CONCATENATE(VLOOKUP(A113,TEAMS,2,FALSE),TEXT($B113,"00")),PLAYERS,F$1,FALSE)</f>
        <v>6</v>
      </c>
      <c r="G113" s="113">
        <f>VLOOKUP(CONCATENATE(VLOOKUP(A113,TEAMS,2,FALSE),TEXT($B113,"00")),PLAYERS,G$1,FALSE)</f>
        <v>3</v>
      </c>
      <c r="H113" s="113" t="str">
        <f>CONCATENATE(VLOOKUP(CONCATENATE(VLOOKUP(A113,TEAMS,2,FALSE),TEXT($B113,"00")),PLAYERS,H$1,FALSE),"+")</f>
        <v>3+</v>
      </c>
      <c r="I113" s="113" t="str">
        <f>CONCATENATE(VLOOKUP(CONCATENATE(VLOOKUP(A113,TEAMS,2,FALSE),TEXT($B113,"00")),PLAYERS,I$1,FALSE),IF(VLOOKUP(CONCATENATE(VLOOKUP(A113,TEAMS,2,FALSE),TEXT($B113,"00")),PLAYERS,I$1,FALSE)="-","","+"))</f>
        <v>3+</v>
      </c>
      <c r="J113" s="113" t="str">
        <f>CONCATENATE(VLOOKUP(CONCATENATE(VLOOKUP(A113,TEAMS,2,FALSE),TEXT($B113,"00")),PLAYERS,J$1,FALSE),"+")</f>
        <v>9+</v>
      </c>
      <c r="K113" s="115" t="str">
        <f>VLOOKUP(CONCATENATE(VLOOKUP(A113,TEAMS,2,FALSE),TEXT($B113,"00")),PLAYERS,K$1,FALSE)</f>
        <v>Pass, Runing Pass</v>
      </c>
      <c r="L113" s="114" t="str">
        <f>VLOOKUP(CONCATENATE(VLOOKUP(A113,TEAMS,2,FALSE),TEXT($B113,"00")),PLAYERS,L$1,FALSE)</f>
        <v>GP</v>
      </c>
      <c r="M113" s="114" t="str">
        <f>VLOOKUP(CONCATENATE(VLOOKUP(A113,TEAMS,2,FALSE),TEXT($B113,"00")),PLAYERS,M$1,FALSE)</f>
        <v>AS</v>
      </c>
      <c r="N113" s="113" t="str">
        <f>CONCATENATE(ABS(VLOOKUP(CONCATENATE(VLOOKUP(A113,TEAMS,2,FALSE),TEXT(B113,"00")),PLAYERS,5,FALSE)),"k")</f>
        <v>75k</v>
      </c>
    </row>
    <row r="114" spans="1:14" x14ac:dyDescent="0.25">
      <c r="A114" s="6" t="s">
        <v>103</v>
      </c>
      <c r="B114" s="6">
        <v>3</v>
      </c>
      <c r="D114" s="114" t="str">
        <f>CONCATENATE("0-",VLOOKUP(CONCATENATE(VLOOKUP(A114,TEAMS,2,FALSE),TEXT(B114,"00")),PLAYERS,$D$1,FALSE),IF(VLOOKUP(CONCATENATE(VLOOKUP(A114,TEAMS,2,FALSE),TEXT(B114,"00")),PLAYERS,$D$1+1,FALSE)="BG"," *",""))</f>
        <v>0-2</v>
      </c>
      <c r="E114" s="115" t="str">
        <f>VLOOKUP(CONCATENATE(VLOOKUP(A114,TEAMS,2,FALSE),TEXT($B114,"00")),PLAYERS,E$1,FALSE)</f>
        <v>Noble Blitzer</v>
      </c>
      <c r="F114" s="113">
        <f>VLOOKUP(CONCATENATE(VLOOKUP(A114,TEAMS,2,FALSE),TEXT($B114,"00")),PLAYERS,F$1,FALSE)</f>
        <v>7</v>
      </c>
      <c r="G114" s="113">
        <f>VLOOKUP(CONCATENATE(VLOOKUP(A114,TEAMS,2,FALSE),TEXT($B114,"00")),PLAYERS,G$1,FALSE)</f>
        <v>3</v>
      </c>
      <c r="H114" s="113" t="str">
        <f>CONCATENATE(VLOOKUP(CONCATENATE(VLOOKUP(A114,TEAMS,2,FALSE),TEXT($B114,"00")),PLAYERS,H$1,FALSE),"+")</f>
        <v>3+</v>
      </c>
      <c r="I114" s="113" t="str">
        <f>CONCATENATE(VLOOKUP(CONCATENATE(VLOOKUP(A114,TEAMS,2,FALSE),TEXT($B114,"00")),PLAYERS,I$1,FALSE),IF(VLOOKUP(CONCATENATE(VLOOKUP(A114,TEAMS,2,FALSE),TEXT($B114,"00")),PLAYERS,I$1,FALSE)="-","","+"))</f>
        <v>4+</v>
      </c>
      <c r="J114" s="113" t="str">
        <f>CONCATENATE(VLOOKUP(CONCATENATE(VLOOKUP(A114,TEAMS,2,FALSE),TEXT($B114,"00")),PLAYERS,J$1,FALSE),"+")</f>
        <v>9+</v>
      </c>
      <c r="K114" s="115" t="str">
        <f>VLOOKUP(CONCATENATE(VLOOKUP(A114,TEAMS,2,FALSE),TEXT($B114,"00")),PLAYERS,K$1,FALSE)</f>
        <v>Block, Catch</v>
      </c>
      <c r="L114" s="114" t="str">
        <f>VLOOKUP(CONCATENATE(VLOOKUP(A114,TEAMS,2,FALSE),TEXT($B114,"00")),PLAYERS,L$1,FALSE)</f>
        <v>AG</v>
      </c>
      <c r="M114" s="114" t="str">
        <f>VLOOKUP(CONCATENATE(VLOOKUP(A114,TEAMS,2,FALSE),TEXT($B114,"00")),PLAYERS,M$1,FALSE)</f>
        <v>PS</v>
      </c>
      <c r="N114" s="113" t="str">
        <f>CONCATENATE(ABS(VLOOKUP(CONCATENATE(VLOOKUP(A114,TEAMS,2,FALSE),TEXT(B114,"00")),PLAYERS,5,FALSE)),"k")</f>
        <v>105k</v>
      </c>
    </row>
    <row r="115" spans="1:14" x14ac:dyDescent="0.25">
      <c r="A115" s="6" t="s">
        <v>103</v>
      </c>
      <c r="B115" s="6">
        <v>4</v>
      </c>
      <c r="D115" s="114" t="str">
        <f>CONCATENATE("0-",VLOOKUP(CONCATENATE(VLOOKUP(A115,TEAMS,2,FALSE),TEXT(B115,"00")),PLAYERS,$D$1,FALSE),IF(VLOOKUP(CONCATENATE(VLOOKUP(A115,TEAMS,2,FALSE),TEXT(B115,"00")),PLAYERS,$D$1+1,FALSE)="BG"," *",""))</f>
        <v>0-4</v>
      </c>
      <c r="E115" s="115" t="str">
        <f>VLOOKUP(CONCATENATE(VLOOKUP(A115,TEAMS,2,FALSE),TEXT($B115,"00")),PLAYERS,E$1,FALSE)</f>
        <v>Bodyguard</v>
      </c>
      <c r="F115" s="113">
        <f>VLOOKUP(CONCATENATE(VLOOKUP(A115,TEAMS,2,FALSE),TEXT($B115,"00")),PLAYERS,F$1,FALSE)</f>
        <v>6</v>
      </c>
      <c r="G115" s="113">
        <f>VLOOKUP(CONCATENATE(VLOOKUP(A115,TEAMS,2,FALSE),TEXT($B115,"00")),PLAYERS,G$1,FALSE)</f>
        <v>3</v>
      </c>
      <c r="H115" s="113" t="str">
        <f>CONCATENATE(VLOOKUP(CONCATENATE(VLOOKUP(A115,TEAMS,2,FALSE),TEXT($B115,"00")),PLAYERS,H$1,FALSE),"+")</f>
        <v>3+</v>
      </c>
      <c r="I115" s="113" t="str">
        <f>CONCATENATE(VLOOKUP(CONCATENATE(VLOOKUP(A115,TEAMS,2,FALSE),TEXT($B115,"00")),PLAYERS,I$1,FALSE),IF(VLOOKUP(CONCATENATE(VLOOKUP(A115,TEAMS,2,FALSE),TEXT($B115,"00")),PLAYERS,I$1,FALSE)="-","","+"))</f>
        <v>5+</v>
      </c>
      <c r="J115" s="113" t="str">
        <f>CONCATENATE(VLOOKUP(CONCATENATE(VLOOKUP(A115,TEAMS,2,FALSE),TEXT($B115,"00")),PLAYERS,J$1,FALSE),"+")</f>
        <v>9+</v>
      </c>
      <c r="K115" s="115" t="str">
        <f>VLOOKUP(CONCATENATE(VLOOKUP(A115,TEAMS,2,FALSE),TEXT($B115,"00")),PLAYERS,K$1,FALSE)</f>
        <v>Stand Firm, Wrestle</v>
      </c>
      <c r="L115" s="114" t="str">
        <f>VLOOKUP(CONCATENATE(VLOOKUP(A115,TEAMS,2,FALSE),TEXT($B115,"00")),PLAYERS,L$1,FALSE)</f>
        <v>GS</v>
      </c>
      <c r="M115" s="114" t="str">
        <f>VLOOKUP(CONCATENATE(VLOOKUP(A115,TEAMS,2,FALSE),TEXT($B115,"00")),PLAYERS,M$1,FALSE)</f>
        <v>A</v>
      </c>
      <c r="N115" s="113" t="str">
        <f>CONCATENATE(ABS(VLOOKUP(CONCATENATE(VLOOKUP(A115,TEAMS,2,FALSE),TEXT(B115,"00")),PLAYERS,5,FALSE)),"k")</f>
        <v>90k</v>
      </c>
    </row>
    <row r="116" spans="1:14" ht="30" x14ac:dyDescent="0.25">
      <c r="A116" s="6" t="s">
        <v>103</v>
      </c>
      <c r="B116" s="6">
        <v>5</v>
      </c>
      <c r="D116" s="114" t="str">
        <f>CONCATENATE("0-",VLOOKUP(CONCATENATE(VLOOKUP(A116,TEAMS,2,FALSE),TEXT(B116,"00")),PLAYERS,$D$1,FALSE),IF(VLOOKUP(CONCATENATE(VLOOKUP(A116,TEAMS,2,FALSE),TEXT(B116,"00")),PLAYERS,$D$1+1,FALSE)="BG"," *",""))</f>
        <v>0-1</v>
      </c>
      <c r="E116" s="115" t="str">
        <f>VLOOKUP(CONCATENATE(VLOOKUP(A116,TEAMS,2,FALSE),TEXT($B116,"00")),PLAYERS,E$1,FALSE)</f>
        <v>Ogre</v>
      </c>
      <c r="F116" s="113">
        <f>VLOOKUP(CONCATENATE(VLOOKUP(A116,TEAMS,2,FALSE),TEXT($B116,"00")),PLAYERS,F$1,FALSE)</f>
        <v>5</v>
      </c>
      <c r="G116" s="113">
        <f>VLOOKUP(CONCATENATE(VLOOKUP(A116,TEAMS,2,FALSE),TEXT($B116,"00")),PLAYERS,G$1,FALSE)</f>
        <v>5</v>
      </c>
      <c r="H116" s="113" t="str">
        <f>CONCATENATE(VLOOKUP(CONCATENATE(VLOOKUP(A116,TEAMS,2,FALSE),TEXT($B116,"00")),PLAYERS,H$1,FALSE),"+")</f>
        <v>4+</v>
      </c>
      <c r="I116" s="113" t="str">
        <f>CONCATENATE(VLOOKUP(CONCATENATE(VLOOKUP(A116,TEAMS,2,FALSE),TEXT($B116,"00")),PLAYERS,I$1,FALSE),IF(VLOOKUP(CONCATENATE(VLOOKUP(A116,TEAMS,2,FALSE),TEXT($B116,"00")),PLAYERS,I$1,FALSE)="-","","+"))</f>
        <v>5+</v>
      </c>
      <c r="J116" s="113" t="str">
        <f>CONCATENATE(VLOOKUP(CONCATENATE(VLOOKUP(A116,TEAMS,2,FALSE),TEXT($B116,"00")),PLAYERS,J$1,FALSE),"+")</f>
        <v>10+</v>
      </c>
      <c r="K116" s="115" t="str">
        <f>VLOOKUP(CONCATENATE(VLOOKUP(A116,TEAMS,2,FALSE),TEXT($B116,"00")),PLAYERS,K$1,FALSE)</f>
        <v>Bone Head*, Loner (4+)*, Mighty Blow (+1), Thick Skull, Throw Team-mate</v>
      </c>
      <c r="L116" s="114" t="str">
        <f>VLOOKUP(CONCATENATE(VLOOKUP(A116,TEAMS,2,FALSE),TEXT($B116,"00")),PLAYERS,L$1,FALSE)</f>
        <v>S</v>
      </c>
      <c r="M116" s="114" t="str">
        <f>VLOOKUP(CONCATENATE(VLOOKUP(A116,TEAMS,2,FALSE),TEXT($B116,"00")),PLAYERS,M$1,FALSE)</f>
        <v>AG</v>
      </c>
      <c r="N116" s="113" t="str">
        <f>CONCATENATE(ABS(VLOOKUP(CONCATENATE(VLOOKUP(A116,TEAMS,2,FALSE),TEXT(B116,"00")),PLAYERS,5,FALSE)),"k")</f>
        <v>140k</v>
      </c>
    </row>
    <row r="117" spans="1:14" x14ac:dyDescent="0.25">
      <c r="D117" s="64" t="s">
        <v>676</v>
      </c>
      <c r="E117" s="64" t="str">
        <f>CONCATENATE(VLOOKUP(A110,TEAMS,5,FALSE),"k")</f>
        <v>70k</v>
      </c>
      <c r="F117" s="466" t="s">
        <v>680</v>
      </c>
      <c r="G117" s="471"/>
      <c r="H117" s="471"/>
      <c r="I117" s="467"/>
      <c r="J117" s="113" t="str">
        <f>VLOOKUP(A110,TEAMS,6,FALSE)</f>
        <v>Yes</v>
      </c>
      <c r="K117" s="468" t="s">
        <v>681</v>
      </c>
      <c r="L117" s="469"/>
      <c r="M117" s="470"/>
      <c r="N117" s="116">
        <f>VLOOKUP(A110,TEAMS,8,FALSE)</f>
        <v>3</v>
      </c>
    </row>
    <row r="118" spans="1:14" ht="15" customHeight="1" x14ac:dyDescent="0.25">
      <c r="D118" s="466" t="s">
        <v>682</v>
      </c>
      <c r="E118" s="467"/>
      <c r="F118" s="462" t="str">
        <f>IFERROR(VLOOKUP(LEFT(VLOOKUP(A112,TEAMS,7,FALSE),3),SpecialRules,3,FALSE) &amp; VLOOKUP(MID(VLOOKUP(A112,TEAMS,7,FALSE),4,3),SpecialRules,3,FALSE),"")</f>
        <v/>
      </c>
      <c r="G118" s="462"/>
      <c r="H118" s="462"/>
      <c r="I118" s="462"/>
      <c r="J118" s="462"/>
      <c r="K118" s="462"/>
      <c r="L118" s="462"/>
      <c r="M118" s="462"/>
      <c r="N118" s="462"/>
    </row>
    <row r="119" spans="1:14" x14ac:dyDescent="0.25">
      <c r="D119" s="465"/>
      <c r="E119" s="465"/>
      <c r="F119" s="465"/>
      <c r="G119" s="465"/>
      <c r="H119" s="465"/>
      <c r="I119" s="465"/>
      <c r="J119" s="465"/>
      <c r="K119" s="465"/>
      <c r="L119" s="465"/>
      <c r="M119" s="465"/>
      <c r="N119" s="465"/>
    </row>
    <row r="120" spans="1:14" ht="21" x14ac:dyDescent="0.35">
      <c r="A120" s="6" t="s">
        <v>827</v>
      </c>
      <c r="B120" s="6">
        <v>4</v>
      </c>
      <c r="D120" s="472" t="str">
        <f>A120</f>
        <v>Khorne</v>
      </c>
      <c r="E120" s="473"/>
      <c r="F120" s="473"/>
      <c r="G120" s="473"/>
      <c r="H120" s="473"/>
      <c r="I120" s="473"/>
      <c r="J120" s="474"/>
      <c r="K120" s="476"/>
      <c r="L120" s="477"/>
      <c r="M120" s="477"/>
      <c r="N120" s="478"/>
    </row>
    <row r="121" spans="1:14" x14ac:dyDescent="0.25">
      <c r="A121" s="6" t="s">
        <v>827</v>
      </c>
      <c r="D121" s="64" t="s">
        <v>952</v>
      </c>
      <c r="E121" s="64" t="s">
        <v>4</v>
      </c>
      <c r="F121" s="113" t="s">
        <v>5</v>
      </c>
      <c r="G121" s="113" t="s">
        <v>6</v>
      </c>
      <c r="H121" s="113" t="s">
        <v>7</v>
      </c>
      <c r="I121" s="113" t="s">
        <v>8</v>
      </c>
      <c r="J121" s="113" t="s">
        <v>9</v>
      </c>
      <c r="K121" s="64" t="s">
        <v>662</v>
      </c>
      <c r="L121" s="64" t="s">
        <v>674</v>
      </c>
      <c r="M121" s="64" t="s">
        <v>675</v>
      </c>
      <c r="N121" s="116" t="s">
        <v>879</v>
      </c>
    </row>
    <row r="122" spans="1:14" x14ac:dyDescent="0.25">
      <c r="A122" s="6" t="s">
        <v>827</v>
      </c>
      <c r="B122" s="6">
        <v>1</v>
      </c>
      <c r="D122" s="114" t="str">
        <f>CONCATENATE("0-",VLOOKUP(CONCATENATE(VLOOKUP(A122,TEAMS,2,FALSE),TEXT(B122,"00")),PLAYERS,$D$1,FALSE),IF(VLOOKUP(CONCATENATE(VLOOKUP(A122,TEAMS,2,FALSE),TEXT(B122,"00")),PLAYERS,$D$1+1,FALSE)="BG"," *",""))</f>
        <v>0-16</v>
      </c>
      <c r="E122" s="115" t="str">
        <f>VLOOKUP(CONCATENATE(VLOOKUP(A122,TEAMS,2,FALSE),TEXT($B122,"00")),PLAYERS,E$1,FALSE)</f>
        <v>Bloodborn Marauder</v>
      </c>
      <c r="F122" s="113">
        <f>VLOOKUP(CONCATENATE(VLOOKUP(A122,TEAMS,2,FALSE),TEXT($B122,"00")),PLAYERS,F$1,FALSE)</f>
        <v>6</v>
      </c>
      <c r="G122" s="113">
        <f>VLOOKUP(CONCATENATE(VLOOKUP(A122,TEAMS,2,FALSE),TEXT($B122,"00")),PLAYERS,G$1,FALSE)</f>
        <v>3</v>
      </c>
      <c r="H122" s="113" t="str">
        <f>CONCATENATE(VLOOKUP(CONCATENATE(VLOOKUP(A122,TEAMS,2,FALSE),TEXT($B122,"00")),PLAYERS,H$1,FALSE),"+")</f>
        <v>3+</v>
      </c>
      <c r="I122" s="113" t="str">
        <f>CONCATENATE(VLOOKUP(CONCATENATE(VLOOKUP(A122,TEAMS,2,FALSE),TEXT($B122,"00")),PLAYERS,I$1,FALSE),IF(VLOOKUP(CONCATENATE(VLOOKUP(A122,TEAMS,2,FALSE),TEXT($B122,"00")),PLAYERS,I$1,FALSE)="-","","+"))</f>
        <v>4+</v>
      </c>
      <c r="J122" s="113" t="str">
        <f>CONCATENATE(VLOOKUP(CONCATENATE(VLOOKUP(A122,TEAMS,2,FALSE),TEXT($B122,"00")),PLAYERS,J$1,FALSE),"+")</f>
        <v>8+</v>
      </c>
      <c r="K122" s="115" t="str">
        <f>VLOOKUP(CONCATENATE(VLOOKUP(A122,TEAMS,2,FALSE),TEXT($B122,"00")),PLAYERS,K$1,FALSE)</f>
        <v>Frenzy*</v>
      </c>
      <c r="L122" s="114" t="str">
        <f>VLOOKUP(CONCATENATE(VLOOKUP(A122,TEAMS,2,FALSE),TEXT($B122,"00")),PLAYERS,L$1,FALSE)</f>
        <v>GM</v>
      </c>
      <c r="M122" s="114" t="str">
        <f>VLOOKUP(CONCATENATE(VLOOKUP(A122,TEAMS,2,FALSE),TEXT($B122,"00")),PLAYERS,M$1,FALSE)</f>
        <v>ASP</v>
      </c>
      <c r="N122" s="113" t="str">
        <f>CONCATENATE(ABS(VLOOKUP(CONCATENATE(VLOOKUP(A122,TEAMS,2,FALSE),TEXT(B122,"00")),PLAYERS,5,FALSE)),"k")</f>
        <v>50k</v>
      </c>
    </row>
    <row r="123" spans="1:14" x14ac:dyDescent="0.25">
      <c r="A123" s="6" t="s">
        <v>827</v>
      </c>
      <c r="B123" s="6">
        <v>2</v>
      </c>
      <c r="D123" s="114" t="str">
        <f>CONCATENATE("0-",VLOOKUP(CONCATENATE(VLOOKUP(A123,TEAMS,2,FALSE),TEXT(B123,"00")),PLAYERS,$D$1,FALSE),IF(VLOOKUP(CONCATENATE(VLOOKUP(A123,TEAMS,2,FALSE),TEXT(B123,"00")),PLAYERS,$D$1+1,FALSE)="BG"," *",""))</f>
        <v>0-4</v>
      </c>
      <c r="E123" s="115" t="str">
        <f>VLOOKUP(CONCATENATE(VLOOKUP(A123,TEAMS,2,FALSE),TEXT($B123,"00")),PLAYERS,E$1,FALSE)</f>
        <v>Khorngor</v>
      </c>
      <c r="F123" s="113">
        <f>VLOOKUP(CONCATENATE(VLOOKUP(A123,TEAMS,2,FALSE),TEXT($B123,"00")),PLAYERS,F$1,FALSE)</f>
        <v>6</v>
      </c>
      <c r="G123" s="113">
        <f>VLOOKUP(CONCATENATE(VLOOKUP(A123,TEAMS,2,FALSE),TEXT($B123,"00")),PLAYERS,G$1,FALSE)</f>
        <v>3</v>
      </c>
      <c r="H123" s="113" t="str">
        <f>CONCATENATE(VLOOKUP(CONCATENATE(VLOOKUP(A123,TEAMS,2,FALSE),TEXT($B123,"00")),PLAYERS,H$1,FALSE),"+")</f>
        <v>3+</v>
      </c>
      <c r="I123" s="113" t="str">
        <f>CONCATENATE(VLOOKUP(CONCATENATE(VLOOKUP(A123,TEAMS,2,FALSE),TEXT($B123,"00")),PLAYERS,I$1,FALSE),IF(VLOOKUP(CONCATENATE(VLOOKUP(A123,TEAMS,2,FALSE),TEXT($B123,"00")),PLAYERS,I$1,FALSE)="-","","+"))</f>
        <v>4+</v>
      </c>
      <c r="J123" s="113" t="str">
        <f>CONCATENATE(VLOOKUP(CONCATENATE(VLOOKUP(A123,TEAMS,2,FALSE),TEXT($B123,"00")),PLAYERS,J$1,FALSE),"+")</f>
        <v>9+</v>
      </c>
      <c r="K123" s="115" t="str">
        <f>VLOOKUP(CONCATENATE(VLOOKUP(A123,TEAMS,2,FALSE),TEXT($B123,"00")),PLAYERS,K$1,FALSE)</f>
        <v>Horns, Juggernaut</v>
      </c>
      <c r="L123" s="114" t="str">
        <f>VLOOKUP(CONCATENATE(VLOOKUP(A123,TEAMS,2,FALSE),TEXT($B123,"00")),PLAYERS,L$1,FALSE)</f>
        <v>GMS</v>
      </c>
      <c r="M123" s="114" t="str">
        <f>VLOOKUP(CONCATENATE(VLOOKUP(A123,TEAMS,2,FALSE),TEXT($B123,"00")),PLAYERS,M$1,FALSE)</f>
        <v>AP</v>
      </c>
      <c r="N123" s="113" t="str">
        <f>CONCATENATE(ABS(VLOOKUP(CONCATENATE(VLOOKUP(A123,TEAMS,2,FALSE),TEXT(B123,"00")),PLAYERS,5,FALSE)),"k")</f>
        <v>70k</v>
      </c>
    </row>
    <row r="124" spans="1:14" x14ac:dyDescent="0.25">
      <c r="A124" s="6" t="s">
        <v>827</v>
      </c>
      <c r="B124" s="6">
        <v>3</v>
      </c>
      <c r="D124" s="114" t="str">
        <f>CONCATENATE("0-",VLOOKUP(CONCATENATE(VLOOKUP(A124,TEAMS,2,FALSE),TEXT(B124,"00")),PLAYERS,$D$1,FALSE),IF(VLOOKUP(CONCATENATE(VLOOKUP(A124,TEAMS,2,FALSE),TEXT(B124,"00")),PLAYERS,$D$1+1,FALSE)="BG"," *",""))</f>
        <v>0-4</v>
      </c>
      <c r="E124" s="115" t="str">
        <f>VLOOKUP(CONCATENATE(VLOOKUP(A124,TEAMS,2,FALSE),TEXT($B124,"00")),PLAYERS,E$1,FALSE)</f>
        <v>Bloodseeker</v>
      </c>
      <c r="F124" s="113">
        <f>VLOOKUP(CONCATENATE(VLOOKUP(A124,TEAMS,2,FALSE),TEXT($B124,"00")),PLAYERS,F$1,FALSE)</f>
        <v>5</v>
      </c>
      <c r="G124" s="113">
        <f>VLOOKUP(CONCATENATE(VLOOKUP(A124,TEAMS,2,FALSE),TEXT($B124,"00")),PLAYERS,G$1,FALSE)</f>
        <v>4</v>
      </c>
      <c r="H124" s="113" t="str">
        <f>CONCATENATE(VLOOKUP(CONCATENATE(VLOOKUP(A124,TEAMS,2,FALSE),TEXT($B124,"00")),PLAYERS,H$1,FALSE),"+")</f>
        <v>4+</v>
      </c>
      <c r="I124" s="113" t="str">
        <f>CONCATENATE(VLOOKUP(CONCATENATE(VLOOKUP(A124,TEAMS,2,FALSE),TEXT($B124,"00")),PLAYERS,I$1,FALSE),IF(VLOOKUP(CONCATENATE(VLOOKUP(A124,TEAMS,2,FALSE),TEXT($B124,"00")),PLAYERS,I$1,FALSE)="-","","+"))</f>
        <v>6+</v>
      </c>
      <c r="J124" s="113" t="str">
        <f>CONCATENATE(VLOOKUP(CONCATENATE(VLOOKUP(A124,TEAMS,2,FALSE),TEXT($B124,"00")),PLAYERS,J$1,FALSE),"+")</f>
        <v>10+</v>
      </c>
      <c r="K124" s="115" t="str">
        <f>VLOOKUP(CONCATENATE(VLOOKUP(A124,TEAMS,2,FALSE),TEXT($B124,"00")),PLAYERS,K$1,FALSE)</f>
        <v>Frenzy*</v>
      </c>
      <c r="L124" s="114" t="str">
        <f>VLOOKUP(CONCATENATE(VLOOKUP(A124,TEAMS,2,FALSE),TEXT($B124,"00")),PLAYERS,L$1,FALSE)</f>
        <v>GMS</v>
      </c>
      <c r="M124" s="114" t="str">
        <f>VLOOKUP(CONCATENATE(VLOOKUP(A124,TEAMS,2,FALSE),TEXT($B124,"00")),PLAYERS,M$1,FALSE)</f>
        <v>A</v>
      </c>
      <c r="N124" s="113" t="str">
        <f>CONCATENATE(ABS(VLOOKUP(CONCATENATE(VLOOKUP(A124,TEAMS,2,FALSE),TEXT(B124,"00")),PLAYERS,5,FALSE)),"k")</f>
        <v>110k</v>
      </c>
    </row>
    <row r="125" spans="1:14" ht="30" x14ac:dyDescent="0.25">
      <c r="A125" s="6" t="s">
        <v>827</v>
      </c>
      <c r="B125" s="6">
        <v>4</v>
      </c>
      <c r="D125" s="114" t="str">
        <f>CONCATENATE("0-",VLOOKUP(CONCATENATE(VLOOKUP(A125,TEAMS,2,FALSE),TEXT(B125,"00")),PLAYERS,$D$1,FALSE),IF(VLOOKUP(CONCATENATE(VLOOKUP(A125,TEAMS,2,FALSE),TEXT(B125,"00")),PLAYERS,$D$1+1,FALSE)="BG"," *",""))</f>
        <v>0-1</v>
      </c>
      <c r="E125" s="115" t="str">
        <f>VLOOKUP(CONCATENATE(VLOOKUP(A125,TEAMS,2,FALSE),TEXT($B125,"00")),PLAYERS,E$1,FALSE)</f>
        <v>Bloodspawn</v>
      </c>
      <c r="F125" s="113">
        <f>VLOOKUP(CONCATENATE(VLOOKUP(A125,TEAMS,2,FALSE),TEXT($B125,"00")),PLAYERS,F$1,FALSE)</f>
        <v>5</v>
      </c>
      <c r="G125" s="113">
        <f>VLOOKUP(CONCATENATE(VLOOKUP(A125,TEAMS,2,FALSE),TEXT($B125,"00")),PLAYERS,G$1,FALSE)</f>
        <v>5</v>
      </c>
      <c r="H125" s="113" t="str">
        <f>CONCATENATE(VLOOKUP(CONCATENATE(VLOOKUP(A125,TEAMS,2,FALSE),TEXT($B125,"00")),PLAYERS,H$1,FALSE),"+")</f>
        <v>4+</v>
      </c>
      <c r="I125" s="113" t="str">
        <f>CONCATENATE(VLOOKUP(CONCATENATE(VLOOKUP(A125,TEAMS,2,FALSE),TEXT($B125,"00")),PLAYERS,I$1,FALSE),IF(VLOOKUP(CONCATENATE(VLOOKUP(A125,TEAMS,2,FALSE),TEXT($B125,"00")),PLAYERS,I$1,FALSE)="-","","+"))</f>
        <v>-</v>
      </c>
      <c r="J125" s="113" t="str">
        <f>CONCATENATE(VLOOKUP(CONCATENATE(VLOOKUP(A125,TEAMS,2,FALSE),TEXT($B125,"00")),PLAYERS,J$1,FALSE),"+")</f>
        <v>9+</v>
      </c>
      <c r="K125" s="115" t="str">
        <f>VLOOKUP(CONCATENATE(VLOOKUP(A125,TEAMS,2,FALSE),TEXT($B125,"00")),PLAYERS,K$1,FALSE)</f>
        <v>Claws, Frenzy*, Loner (4+)*, Mighty Blow (+1), Unchanneled Fury*</v>
      </c>
      <c r="L125" s="114" t="str">
        <f>VLOOKUP(CONCATENATE(VLOOKUP(A125,TEAMS,2,FALSE),TEXT($B125,"00")),PLAYERS,L$1,FALSE)</f>
        <v>MS</v>
      </c>
      <c r="M125" s="114" t="str">
        <f>VLOOKUP(CONCATENATE(VLOOKUP(A125,TEAMS,2,FALSE),TEXT($B125,"00")),PLAYERS,M$1,FALSE)</f>
        <v>AG</v>
      </c>
      <c r="N125" s="113" t="str">
        <f>CONCATENATE(ABS(VLOOKUP(CONCATENATE(VLOOKUP(A125,TEAMS,2,FALSE),TEXT(B125,"00")),PLAYERS,5,FALSE)),"k")</f>
        <v>160k</v>
      </c>
    </row>
    <row r="126" spans="1:14" x14ac:dyDescent="0.25">
      <c r="D126" s="64" t="s">
        <v>676</v>
      </c>
      <c r="E126" s="64" t="str">
        <f>CONCATENATE(VLOOKUP(A122,TEAMS,5,FALSE),"k")</f>
        <v>60k</v>
      </c>
      <c r="F126" s="466" t="s">
        <v>680</v>
      </c>
      <c r="G126" s="471"/>
      <c r="H126" s="471"/>
      <c r="I126" s="467"/>
      <c r="J126" s="113" t="str">
        <f>VLOOKUP(A122,TEAMS,6,FALSE)</f>
        <v>Yes</v>
      </c>
      <c r="K126" s="468" t="s">
        <v>681</v>
      </c>
      <c r="L126" s="469"/>
      <c r="M126" s="470"/>
      <c r="N126" s="116">
        <f>VLOOKUP(A122,TEAMS,8,FALSE)</f>
        <v>3</v>
      </c>
    </row>
    <row r="127" spans="1:14" ht="15" customHeight="1" x14ac:dyDescent="0.25">
      <c r="D127" s="466" t="s">
        <v>682</v>
      </c>
      <c r="E127" s="467"/>
      <c r="F127" s="462" t="str">
        <f>IFERROR(VLOOKUP(LEFT(VLOOKUP(A121,TEAMS,7,FALSE),3),SpecialRules,3,FALSE) &amp; VLOOKUP(MID(VLOOKUP(A121,TEAMS,7,FALSE),4,3),SpecialRules,3,FALSE),"")</f>
        <v/>
      </c>
      <c r="G127" s="462"/>
      <c r="H127" s="462"/>
      <c r="I127" s="462"/>
      <c r="J127" s="462"/>
      <c r="K127" s="462"/>
      <c r="L127" s="462"/>
      <c r="M127" s="462"/>
      <c r="N127" s="462"/>
    </row>
    <row r="128" spans="1:14" x14ac:dyDescent="0.25">
      <c r="D128" s="158"/>
      <c r="E128" s="158"/>
      <c r="F128" s="158"/>
      <c r="G128" s="158"/>
      <c r="H128" s="158"/>
      <c r="I128" s="158"/>
      <c r="J128" s="158"/>
      <c r="K128" s="158"/>
      <c r="L128" s="158"/>
      <c r="M128" s="158"/>
      <c r="N128" s="167"/>
    </row>
    <row r="129" spans="1:14" ht="21" x14ac:dyDescent="0.35">
      <c r="A129" s="6" t="s">
        <v>104</v>
      </c>
      <c r="B129" s="6">
        <v>4</v>
      </c>
      <c r="D129" s="459" t="str">
        <f>A129</f>
        <v>Lizardmen</v>
      </c>
      <c r="E129" s="459"/>
      <c r="F129" s="459"/>
      <c r="G129" s="459"/>
      <c r="H129" s="459"/>
      <c r="I129" s="459"/>
      <c r="J129" s="459"/>
      <c r="K129" s="459"/>
      <c r="L129" s="459"/>
      <c r="M129" s="459"/>
      <c r="N129" s="459"/>
    </row>
    <row r="130" spans="1:14" x14ac:dyDescent="0.25">
      <c r="A130" s="6" t="s">
        <v>104</v>
      </c>
      <c r="D130" s="64" t="s">
        <v>952</v>
      </c>
      <c r="E130" s="64" t="s">
        <v>4</v>
      </c>
      <c r="F130" s="113" t="s">
        <v>5</v>
      </c>
      <c r="G130" s="113" t="s">
        <v>6</v>
      </c>
      <c r="H130" s="113" t="s">
        <v>7</v>
      </c>
      <c r="I130" s="113" t="s">
        <v>8</v>
      </c>
      <c r="J130" s="113" t="s">
        <v>9</v>
      </c>
      <c r="K130" s="64" t="s">
        <v>662</v>
      </c>
      <c r="L130" s="64" t="s">
        <v>674</v>
      </c>
      <c r="M130" s="64" t="s">
        <v>675</v>
      </c>
      <c r="N130" s="116" t="s">
        <v>879</v>
      </c>
    </row>
    <row r="131" spans="1:14" x14ac:dyDescent="0.25">
      <c r="A131" s="6" t="s">
        <v>104</v>
      </c>
      <c r="B131" s="6">
        <v>1</v>
      </c>
      <c r="D131" s="114" t="str">
        <f>CONCATENATE("0-",VLOOKUP(CONCATENATE(VLOOKUP(A131,TEAMS,2,FALSE),TEXT(B131,"00")),PLAYERS,$D$1,FALSE),IF(VLOOKUP(CONCATENATE(VLOOKUP(A131,TEAMS,2,FALSE),TEXT(B131,"00")),PLAYERS,$D$1+1,FALSE)="BG"," *",""))</f>
        <v>0-12</v>
      </c>
      <c r="E131" s="115" t="str">
        <f>VLOOKUP(CONCATENATE(VLOOKUP(A131,TEAMS,2,FALSE),TEXT($B131,"00")),PLAYERS,E$1,FALSE)</f>
        <v>Skink Runner Lineman</v>
      </c>
      <c r="F131" s="113">
        <f>VLOOKUP(CONCATENATE(VLOOKUP(A131,TEAMS,2,FALSE),TEXT($B131,"00")),PLAYERS,F$1,FALSE)</f>
        <v>8</v>
      </c>
      <c r="G131" s="113">
        <f>VLOOKUP(CONCATENATE(VLOOKUP(A131,TEAMS,2,FALSE),TEXT($B131,"00")),PLAYERS,G$1,FALSE)</f>
        <v>2</v>
      </c>
      <c r="H131" s="113" t="str">
        <f>CONCATENATE(VLOOKUP(CONCATENATE(VLOOKUP(A131,TEAMS,2,FALSE),TEXT($B131,"00")),PLAYERS,H$1,FALSE),"+")</f>
        <v>3+</v>
      </c>
      <c r="I131" s="113" t="str">
        <f>CONCATENATE(VLOOKUP(CONCATENATE(VLOOKUP(A131,TEAMS,2,FALSE),TEXT($B131,"00")),PLAYERS,I$1,FALSE),IF(VLOOKUP(CONCATENATE(VLOOKUP(A131,TEAMS,2,FALSE),TEXT($B131,"00")),PLAYERS,I$1,FALSE)="-","","+"))</f>
        <v>4+</v>
      </c>
      <c r="J131" s="113" t="str">
        <f>CONCATENATE(VLOOKUP(CONCATENATE(VLOOKUP(A131,TEAMS,2,FALSE),TEXT($B131,"00")),PLAYERS,J$1,FALSE),"+")</f>
        <v>8+</v>
      </c>
      <c r="K131" s="115" t="str">
        <f>VLOOKUP(CONCATENATE(VLOOKUP(A131,TEAMS,2,FALSE),TEXT($B131,"00")),PLAYERS,K$1,FALSE)</f>
        <v>Dodge, Stunty*</v>
      </c>
      <c r="L131" s="114" t="str">
        <f>VLOOKUP(CONCATENATE(VLOOKUP(A131,TEAMS,2,FALSE),TEXT($B131,"00")),PLAYERS,L$1,FALSE)</f>
        <v>A</v>
      </c>
      <c r="M131" s="114" t="str">
        <f>VLOOKUP(CONCATENATE(VLOOKUP(A131,TEAMS,2,FALSE),TEXT($B131,"00")),PLAYERS,M$1,FALSE)</f>
        <v>GPS</v>
      </c>
      <c r="N131" s="113" t="str">
        <f>CONCATENATE(ABS(VLOOKUP(CONCATENATE(VLOOKUP(A131,TEAMS,2,FALSE),TEXT(B131,"00")),PLAYERS,5,FALSE)),"k")</f>
        <v>60k</v>
      </c>
    </row>
    <row r="132" spans="1:14" x14ac:dyDescent="0.25">
      <c r="A132" s="6" t="s">
        <v>104</v>
      </c>
      <c r="B132" s="6">
        <v>2</v>
      </c>
      <c r="D132" s="114" t="str">
        <f>CONCATENATE("0-",VLOOKUP(CONCATENATE(VLOOKUP(A132,TEAMS,2,FALSE),TEXT(B132,"00")),PLAYERS,$D$1,FALSE),IF(VLOOKUP(CONCATENATE(VLOOKUP(A132,TEAMS,2,FALSE),TEXT(B132,"00")),PLAYERS,$D$1+1,FALSE)="BG"," *",""))</f>
        <v>0-2</v>
      </c>
      <c r="E132" s="115" t="str">
        <f>VLOOKUP(CONCATENATE(VLOOKUP(A132,TEAMS,2,FALSE),TEXT($B132,"00")),PLAYERS,E$1,FALSE)</f>
        <v>Chameleon Skink</v>
      </c>
      <c r="F132" s="113">
        <f>VLOOKUP(CONCATENATE(VLOOKUP(A132,TEAMS,2,FALSE),TEXT($B132,"00")),PLAYERS,F$1,FALSE)</f>
        <v>7</v>
      </c>
      <c r="G132" s="113">
        <f>VLOOKUP(CONCATENATE(VLOOKUP(A132,TEAMS,2,FALSE),TEXT($B132,"00")),PLAYERS,G$1,FALSE)</f>
        <v>2</v>
      </c>
      <c r="H132" s="113" t="str">
        <f>CONCATENATE(VLOOKUP(CONCATENATE(VLOOKUP(A132,TEAMS,2,FALSE),TEXT($B132,"00")),PLAYERS,H$1,FALSE),"+")</f>
        <v>3+</v>
      </c>
      <c r="I132" s="113" t="str">
        <f>CONCATENATE(VLOOKUP(CONCATENATE(VLOOKUP(A132,TEAMS,2,FALSE),TEXT($B132,"00")),PLAYERS,I$1,FALSE),IF(VLOOKUP(CONCATENATE(VLOOKUP(A132,TEAMS,2,FALSE),TEXT($B132,"00")),PLAYERS,I$1,FALSE)="-","","+"))</f>
        <v>3+</v>
      </c>
      <c r="J132" s="113" t="str">
        <f>CONCATENATE(VLOOKUP(CONCATENATE(VLOOKUP(A132,TEAMS,2,FALSE),TEXT($B132,"00")),PLAYERS,J$1,FALSE),"+")</f>
        <v>8+</v>
      </c>
      <c r="K132" s="115" t="str">
        <f>VLOOKUP(CONCATENATE(VLOOKUP(A132,TEAMS,2,FALSE),TEXT($B132,"00")),PLAYERS,K$1,FALSE)</f>
        <v>Dodge, On the Ball, Shadowing, Stunty*</v>
      </c>
      <c r="L132" s="114" t="str">
        <f>VLOOKUP(CONCATENATE(VLOOKUP(A132,TEAMS,2,FALSE),TEXT($B132,"00")),PLAYERS,L$1,FALSE)</f>
        <v>A</v>
      </c>
      <c r="M132" s="114" t="str">
        <f>VLOOKUP(CONCATENATE(VLOOKUP(A132,TEAMS,2,FALSE),TEXT($B132,"00")),PLAYERS,M$1,FALSE)</f>
        <v>GPS</v>
      </c>
      <c r="N132" s="113" t="str">
        <f>CONCATENATE(ABS(VLOOKUP(CONCATENATE(VLOOKUP(A132,TEAMS,2,FALSE),TEXT(B132,"00")),PLAYERS,5,FALSE)),"k")</f>
        <v>70k</v>
      </c>
    </row>
    <row r="133" spans="1:14" x14ac:dyDescent="0.25">
      <c r="A133" s="6" t="s">
        <v>104</v>
      </c>
      <c r="B133" s="6">
        <v>3</v>
      </c>
      <c r="D133" s="114" t="str">
        <f>CONCATENATE("0-",VLOOKUP(CONCATENATE(VLOOKUP(A133,TEAMS,2,FALSE),TEXT(B133,"00")),PLAYERS,$D$1,FALSE),IF(VLOOKUP(CONCATENATE(VLOOKUP(A133,TEAMS,2,FALSE),TEXT(B133,"00")),PLAYERS,$D$1+1,FALSE)="BG"," *",""))</f>
        <v>0-6</v>
      </c>
      <c r="E133" s="115" t="str">
        <f>VLOOKUP(CONCATENATE(VLOOKUP(A133,TEAMS,2,FALSE),TEXT($B133,"00")),PLAYERS,E$1,FALSE)</f>
        <v>Saurus Blocker</v>
      </c>
      <c r="F133" s="113">
        <f>VLOOKUP(CONCATENATE(VLOOKUP(A133,TEAMS,2,FALSE),TEXT($B133,"00")),PLAYERS,F$1,FALSE)</f>
        <v>6</v>
      </c>
      <c r="G133" s="113">
        <f>VLOOKUP(CONCATENATE(VLOOKUP(A133,TEAMS,2,FALSE),TEXT($B133,"00")),PLAYERS,G$1,FALSE)</f>
        <v>4</v>
      </c>
      <c r="H133" s="113" t="str">
        <f>CONCATENATE(VLOOKUP(CONCATENATE(VLOOKUP(A133,TEAMS,2,FALSE),TEXT($B133,"00")),PLAYERS,H$1,FALSE),"+")</f>
        <v>5+</v>
      </c>
      <c r="I133" s="113" t="str">
        <f>CONCATENATE(VLOOKUP(CONCATENATE(VLOOKUP(A133,TEAMS,2,FALSE),TEXT($B133,"00")),PLAYERS,I$1,FALSE),IF(VLOOKUP(CONCATENATE(VLOOKUP(A133,TEAMS,2,FALSE),TEXT($B133,"00")),PLAYERS,I$1,FALSE)="-","","+"))</f>
        <v>6+</v>
      </c>
      <c r="J133" s="113" t="str">
        <f>CONCATENATE(VLOOKUP(CONCATENATE(VLOOKUP(A133,TEAMS,2,FALSE),TEXT($B133,"00")),PLAYERS,J$1,FALSE),"+")</f>
        <v>10+</v>
      </c>
      <c r="K133" s="115" t="str">
        <f>VLOOKUP(CONCATENATE(VLOOKUP(A133,TEAMS,2,FALSE),TEXT($B133,"00")),PLAYERS,K$1,FALSE)</f>
        <v>None</v>
      </c>
      <c r="L133" s="114" t="str">
        <f>VLOOKUP(CONCATENATE(VLOOKUP(A133,TEAMS,2,FALSE),TEXT($B133,"00")),PLAYERS,L$1,FALSE)</f>
        <v>GS</v>
      </c>
      <c r="M133" s="114" t="str">
        <f>VLOOKUP(CONCATENATE(VLOOKUP(A133,TEAMS,2,FALSE),TEXT($B133,"00")),PLAYERS,M$1,FALSE)</f>
        <v>A</v>
      </c>
      <c r="N133" s="113" t="str">
        <f>CONCATENATE(ABS(VLOOKUP(CONCATENATE(VLOOKUP(A133,TEAMS,2,FALSE),TEXT(B133,"00")),PLAYERS,5,FALSE)),"k")</f>
        <v>85k</v>
      </c>
    </row>
    <row r="134" spans="1:14" ht="30" x14ac:dyDescent="0.25">
      <c r="A134" s="6" t="s">
        <v>104</v>
      </c>
      <c r="B134" s="6">
        <v>4</v>
      </c>
      <c r="D134" s="114" t="str">
        <f>CONCATENATE("0-",VLOOKUP(CONCATENATE(VLOOKUP(A134,TEAMS,2,FALSE),TEXT(B134,"00")),PLAYERS,$D$1,FALSE),IF(VLOOKUP(CONCATENATE(VLOOKUP(A134,TEAMS,2,FALSE),TEXT(B134,"00")),PLAYERS,$D$1+1,FALSE)="BG"," *",""))</f>
        <v>0-1</v>
      </c>
      <c r="E134" s="115" t="str">
        <f>VLOOKUP(CONCATENATE(VLOOKUP(A134,TEAMS,2,FALSE),TEXT($B134,"00")),PLAYERS,E$1,FALSE)</f>
        <v>Kroxigor</v>
      </c>
      <c r="F134" s="113">
        <f>VLOOKUP(CONCATENATE(VLOOKUP(A134,TEAMS,2,FALSE),TEXT($B134,"00")),PLAYERS,F$1,FALSE)</f>
        <v>6</v>
      </c>
      <c r="G134" s="113">
        <f>VLOOKUP(CONCATENATE(VLOOKUP(A134,TEAMS,2,FALSE),TEXT($B134,"00")),PLAYERS,G$1,FALSE)</f>
        <v>5</v>
      </c>
      <c r="H134" s="113" t="str">
        <f>CONCATENATE(VLOOKUP(CONCATENATE(VLOOKUP(A134,TEAMS,2,FALSE),TEXT($B134,"00")),PLAYERS,H$1,FALSE),"+")</f>
        <v>5+</v>
      </c>
      <c r="I134" s="113" t="str">
        <f>CONCATENATE(VLOOKUP(CONCATENATE(VLOOKUP(A134,TEAMS,2,FALSE),TEXT($B134,"00")),PLAYERS,I$1,FALSE),IF(VLOOKUP(CONCATENATE(VLOOKUP(A134,TEAMS,2,FALSE),TEXT($B134,"00")),PLAYERS,I$1,FALSE)="-","","+"))</f>
        <v>-</v>
      </c>
      <c r="J134" s="113" t="str">
        <f>CONCATENATE(VLOOKUP(CONCATENATE(VLOOKUP(A134,TEAMS,2,FALSE),TEXT($B134,"00")),PLAYERS,J$1,FALSE),"+")</f>
        <v>10+</v>
      </c>
      <c r="K134" s="115" t="str">
        <f>VLOOKUP(CONCATENATE(VLOOKUP(A134,TEAMS,2,FALSE),TEXT($B134,"00")),PLAYERS,K$1,FALSE)</f>
        <v>Bone Head*, Loner (4+)*, Mighty Blow (+1), Prehensile Tail, Thick Skull</v>
      </c>
      <c r="L134" s="114" t="str">
        <f>VLOOKUP(CONCATENATE(VLOOKUP(A134,TEAMS,2,FALSE),TEXT($B134,"00")),PLAYERS,L$1,FALSE)</f>
        <v>S</v>
      </c>
      <c r="M134" s="114" t="str">
        <f>VLOOKUP(CONCATENATE(VLOOKUP(A134,TEAMS,2,FALSE),TEXT($B134,"00")),PLAYERS,M$1,FALSE)</f>
        <v>AG</v>
      </c>
      <c r="N134" s="113" t="str">
        <f>CONCATENATE(ABS(VLOOKUP(CONCATENATE(VLOOKUP(A134,TEAMS,2,FALSE),TEXT(B134,"00")),PLAYERS,5,FALSE)),"k")</f>
        <v>140k</v>
      </c>
    </row>
    <row r="135" spans="1:14" x14ac:dyDescent="0.25">
      <c r="D135" s="64" t="s">
        <v>676</v>
      </c>
      <c r="E135" s="64" t="str">
        <f>CONCATENATE(VLOOKUP(A129,TEAMS,5,FALSE),"k")</f>
        <v>70k</v>
      </c>
      <c r="F135" s="466" t="s">
        <v>680</v>
      </c>
      <c r="G135" s="471"/>
      <c r="H135" s="471"/>
      <c r="I135" s="467"/>
      <c r="J135" s="113" t="str">
        <f>VLOOKUP(A129,TEAMS,6,FALSE)</f>
        <v>Yes</v>
      </c>
      <c r="K135" s="468" t="s">
        <v>681</v>
      </c>
      <c r="L135" s="469"/>
      <c r="M135" s="470"/>
      <c r="N135" s="116">
        <f>VLOOKUP(A129,TEAMS,8,FALSE)</f>
        <v>1</v>
      </c>
    </row>
    <row r="136" spans="1:14" ht="15" customHeight="1" x14ac:dyDescent="0.25">
      <c r="D136" s="466" t="s">
        <v>682</v>
      </c>
      <c r="E136" s="467"/>
      <c r="F136" s="462" t="str">
        <f>IFERROR(VLOOKUP(LEFT(VLOOKUP(A130,TEAMS,7,FALSE),3),SpecialRules,3,FALSE) &amp; VLOOKUP(MID(VLOOKUP(A130,TEAMS,7,FALSE),4,3),SpecialRules,3,FALSE),"")</f>
        <v/>
      </c>
      <c r="G136" s="462"/>
      <c r="H136" s="462"/>
      <c r="I136" s="462"/>
      <c r="J136" s="462"/>
      <c r="K136" s="462"/>
      <c r="L136" s="462"/>
      <c r="M136" s="462"/>
      <c r="N136" s="462"/>
    </row>
    <row r="137" spans="1:14" x14ac:dyDescent="0.25">
      <c r="D137" s="465"/>
      <c r="E137" s="465"/>
      <c r="F137" s="465"/>
      <c r="G137" s="465"/>
      <c r="H137" s="465"/>
      <c r="I137" s="465"/>
      <c r="J137" s="465"/>
      <c r="K137" s="465"/>
      <c r="L137" s="465"/>
      <c r="M137" s="465"/>
      <c r="N137" s="465"/>
    </row>
    <row r="138" spans="1:14" ht="21" x14ac:dyDescent="0.35">
      <c r="A138" s="6" t="s">
        <v>105</v>
      </c>
      <c r="B138" s="6">
        <v>5</v>
      </c>
      <c r="D138" s="459" t="str">
        <f>A138</f>
        <v>Necromantic Horror</v>
      </c>
      <c r="E138" s="459"/>
      <c r="F138" s="459"/>
      <c r="G138" s="459"/>
      <c r="H138" s="459"/>
      <c r="I138" s="459"/>
      <c r="J138" s="459"/>
      <c r="K138" s="459"/>
      <c r="L138" s="459"/>
      <c r="M138" s="459"/>
      <c r="N138" s="459"/>
    </row>
    <row r="139" spans="1:14" x14ac:dyDescent="0.25">
      <c r="A139" s="6" t="s">
        <v>105</v>
      </c>
      <c r="D139" s="64" t="s">
        <v>952</v>
      </c>
      <c r="E139" s="64" t="s">
        <v>4</v>
      </c>
      <c r="F139" s="113" t="s">
        <v>5</v>
      </c>
      <c r="G139" s="113" t="s">
        <v>6</v>
      </c>
      <c r="H139" s="113" t="s">
        <v>7</v>
      </c>
      <c r="I139" s="113" t="s">
        <v>8</v>
      </c>
      <c r="J139" s="113" t="s">
        <v>9</v>
      </c>
      <c r="K139" s="64" t="s">
        <v>662</v>
      </c>
      <c r="L139" s="64" t="s">
        <v>674</v>
      </c>
      <c r="M139" s="64" t="s">
        <v>675</v>
      </c>
      <c r="N139" s="116" t="s">
        <v>879</v>
      </c>
    </row>
    <row r="140" spans="1:14" x14ac:dyDescent="0.25">
      <c r="A140" s="6" t="s">
        <v>105</v>
      </c>
      <c r="B140" s="6">
        <v>1</v>
      </c>
      <c r="D140" s="114" t="str">
        <f>CONCATENATE("0-",VLOOKUP(CONCATENATE(VLOOKUP(A140,TEAMS,2,FALSE),TEXT(B140,"00")),PLAYERS,$D$1,FALSE),IF(VLOOKUP(CONCATENATE(VLOOKUP(A140,TEAMS,2,FALSE),TEXT(B140,"00")),PLAYERS,$D$1+1,FALSE)="BG"," *",""))</f>
        <v>0-16</v>
      </c>
      <c r="E140" s="115" t="str">
        <f>VLOOKUP(CONCATENATE(VLOOKUP(A140,TEAMS,2,FALSE),TEXT($B140,"00")),PLAYERS,E$1,FALSE)</f>
        <v>Zombie Lineman °</v>
      </c>
      <c r="F140" s="113">
        <f>VLOOKUP(CONCATENATE(VLOOKUP(A140,TEAMS,2,FALSE),TEXT($B140,"00")),PLAYERS,F$1,FALSE)</f>
        <v>4</v>
      </c>
      <c r="G140" s="113">
        <f>VLOOKUP(CONCATENATE(VLOOKUP(A140,TEAMS,2,FALSE),TEXT($B140,"00")),PLAYERS,G$1,FALSE)</f>
        <v>3</v>
      </c>
      <c r="H140" s="113" t="str">
        <f>CONCATENATE(VLOOKUP(CONCATENATE(VLOOKUP(A140,TEAMS,2,FALSE),TEXT($B140,"00")),PLAYERS,H$1,FALSE),"+")</f>
        <v>4+</v>
      </c>
      <c r="I140" s="113" t="str">
        <f>CONCATENATE(VLOOKUP(CONCATENATE(VLOOKUP(A140,TEAMS,2,FALSE),TEXT($B140,"00")),PLAYERS,I$1,FALSE),IF(VLOOKUP(CONCATENATE(VLOOKUP(A140,TEAMS,2,FALSE),TEXT($B140,"00")),PLAYERS,I$1,FALSE)="-","","+"))</f>
        <v>-</v>
      </c>
      <c r="J140" s="113" t="str">
        <f>CONCATENATE(VLOOKUP(CONCATENATE(VLOOKUP(A140,TEAMS,2,FALSE),TEXT($B140,"00")),PLAYERS,J$1,FALSE),"+")</f>
        <v>9+</v>
      </c>
      <c r="K140" s="115" t="str">
        <f>VLOOKUP(CONCATENATE(VLOOKUP(A140,TEAMS,2,FALSE),TEXT($B140,"00")),PLAYERS,K$1,FALSE)</f>
        <v>Regeneration</v>
      </c>
      <c r="L140" s="114" t="str">
        <f>VLOOKUP(CONCATENATE(VLOOKUP(A140,TEAMS,2,FALSE),TEXT($B140,"00")),PLAYERS,L$1,FALSE)</f>
        <v>G</v>
      </c>
      <c r="M140" s="114" t="str">
        <f>VLOOKUP(CONCATENATE(VLOOKUP(A140,TEAMS,2,FALSE),TEXT($B140,"00")),PLAYERS,M$1,FALSE)</f>
        <v>AS</v>
      </c>
      <c r="N140" s="113" t="str">
        <f>CONCATENATE(ABS(VLOOKUP(CONCATENATE(VLOOKUP(A140,TEAMS,2,FALSE),TEXT(B140,"00")),PLAYERS,5,FALSE)),"k")</f>
        <v>40k</v>
      </c>
    </row>
    <row r="141" spans="1:14" x14ac:dyDescent="0.25">
      <c r="A141" s="6" t="s">
        <v>105</v>
      </c>
      <c r="B141" s="6">
        <v>2</v>
      </c>
      <c r="D141" s="114" t="str">
        <f>CONCATENATE("0-",VLOOKUP(CONCATENATE(VLOOKUP(A141,TEAMS,2,FALSE),TEXT(B141,"00")),PLAYERS,$D$1,FALSE),IF(VLOOKUP(CONCATENATE(VLOOKUP(A141,TEAMS,2,FALSE),TEXT(B141,"00")),PLAYERS,$D$1+1,FALSE)="BG"," *",""))</f>
        <v>0-2</v>
      </c>
      <c r="E141" s="115" t="str">
        <f>VLOOKUP(CONCATENATE(VLOOKUP(A141,TEAMS,2,FALSE),TEXT($B141,"00")),PLAYERS,E$1,FALSE)</f>
        <v>Ghoul Runner °</v>
      </c>
      <c r="F141" s="113">
        <f>VLOOKUP(CONCATENATE(VLOOKUP(A141,TEAMS,2,FALSE),TEXT($B141,"00")),PLAYERS,F$1,FALSE)</f>
        <v>7</v>
      </c>
      <c r="G141" s="113">
        <f>VLOOKUP(CONCATENATE(VLOOKUP(A141,TEAMS,2,FALSE),TEXT($B141,"00")),PLAYERS,G$1,FALSE)</f>
        <v>3</v>
      </c>
      <c r="H141" s="113" t="str">
        <f>CONCATENATE(VLOOKUP(CONCATENATE(VLOOKUP(A141,TEAMS,2,FALSE),TEXT($B141,"00")),PLAYERS,H$1,FALSE),"+")</f>
        <v>3+</v>
      </c>
      <c r="I141" s="113" t="str">
        <f>CONCATENATE(VLOOKUP(CONCATENATE(VLOOKUP(A141,TEAMS,2,FALSE),TEXT($B141,"00")),PLAYERS,I$1,FALSE),IF(VLOOKUP(CONCATENATE(VLOOKUP(A141,TEAMS,2,FALSE),TEXT($B141,"00")),PLAYERS,I$1,FALSE)="-","","+"))</f>
        <v>4+</v>
      </c>
      <c r="J141" s="113" t="str">
        <f>CONCATENATE(VLOOKUP(CONCATENATE(VLOOKUP(A141,TEAMS,2,FALSE),TEXT($B141,"00")),PLAYERS,J$1,FALSE),"+")</f>
        <v>8+</v>
      </c>
      <c r="K141" s="115" t="str">
        <f>VLOOKUP(CONCATENATE(VLOOKUP(A141,TEAMS,2,FALSE),TEXT($B141,"00")),PLAYERS,K$1,FALSE)</f>
        <v>Dodge</v>
      </c>
      <c r="L141" s="114" t="str">
        <f>VLOOKUP(CONCATENATE(VLOOKUP(A141,TEAMS,2,FALSE),TEXT($B141,"00")),PLAYERS,L$1,FALSE)</f>
        <v>AG</v>
      </c>
      <c r="M141" s="114" t="str">
        <f>VLOOKUP(CONCATENATE(VLOOKUP(A141,TEAMS,2,FALSE),TEXT($B141,"00")),PLAYERS,M$1,FALSE)</f>
        <v>PS</v>
      </c>
      <c r="N141" s="113" t="str">
        <f>CONCATENATE(ABS(VLOOKUP(CONCATENATE(VLOOKUP(A141,TEAMS,2,FALSE),TEXT(B141,"00")),PLAYERS,5,FALSE)),"k")</f>
        <v>75k</v>
      </c>
    </row>
    <row r="142" spans="1:14" ht="30" x14ac:dyDescent="0.25">
      <c r="A142" s="6" t="s">
        <v>105</v>
      </c>
      <c r="B142" s="6">
        <v>3</v>
      </c>
      <c r="D142" s="114" t="str">
        <f>CONCATENATE("0-",VLOOKUP(CONCATENATE(VLOOKUP(A142,TEAMS,2,FALSE),TEXT(B142,"00")),PLAYERS,$D$1,FALSE),IF(VLOOKUP(CONCATENATE(VLOOKUP(A142,TEAMS,2,FALSE),TEXT(B142,"00")),PLAYERS,$D$1+1,FALSE)="BG"," *",""))</f>
        <v>0-2</v>
      </c>
      <c r="E142" s="115" t="str">
        <f>VLOOKUP(CONCATENATE(VLOOKUP(A142,TEAMS,2,FALSE),TEXT($B142,"00")),PLAYERS,E$1,FALSE)</f>
        <v>Wraith</v>
      </c>
      <c r="F142" s="113">
        <f>VLOOKUP(CONCATENATE(VLOOKUP(A142,TEAMS,2,FALSE),TEXT($B142,"00")),PLAYERS,F$1,FALSE)</f>
        <v>6</v>
      </c>
      <c r="G142" s="113">
        <f>VLOOKUP(CONCATENATE(VLOOKUP(A142,TEAMS,2,FALSE),TEXT($B142,"00")),PLAYERS,G$1,FALSE)</f>
        <v>3</v>
      </c>
      <c r="H142" s="113" t="str">
        <f>CONCATENATE(VLOOKUP(CONCATENATE(VLOOKUP(A142,TEAMS,2,FALSE),TEXT($B142,"00")),PLAYERS,H$1,FALSE),"+")</f>
        <v>3+</v>
      </c>
      <c r="I142" s="113" t="str">
        <f>CONCATENATE(VLOOKUP(CONCATENATE(VLOOKUP(A142,TEAMS,2,FALSE),TEXT($B142,"00")),PLAYERS,I$1,FALSE),IF(VLOOKUP(CONCATENATE(VLOOKUP(A142,TEAMS,2,FALSE),TEXT($B142,"00")),PLAYERS,I$1,FALSE)="-","","+"))</f>
        <v>-</v>
      </c>
      <c r="J142" s="113" t="str">
        <f>CONCATENATE(VLOOKUP(CONCATENATE(VLOOKUP(A142,TEAMS,2,FALSE),TEXT($B142,"00")),PLAYERS,J$1,FALSE),"+")</f>
        <v>9+</v>
      </c>
      <c r="K142" s="115" t="str">
        <f>VLOOKUP(CONCATENATE(VLOOKUP(A142,TEAMS,2,FALSE),TEXT($B142,"00")),PLAYERS,K$1,FALSE)</f>
        <v>Block, Foul Appearance*, No Hands*, Regeneration, Sidestep</v>
      </c>
      <c r="L142" s="114" t="str">
        <f>VLOOKUP(CONCATENATE(VLOOKUP(A142,TEAMS,2,FALSE),TEXT($B142,"00")),PLAYERS,L$1,FALSE)</f>
        <v>GS</v>
      </c>
      <c r="M142" s="114" t="str">
        <f>VLOOKUP(CONCATENATE(VLOOKUP(A142,TEAMS,2,FALSE),TEXT($B142,"00")),PLAYERS,M$1,FALSE)</f>
        <v>A</v>
      </c>
      <c r="N142" s="113" t="str">
        <f>CONCATENATE(ABS(VLOOKUP(CONCATENATE(VLOOKUP(A142,TEAMS,2,FALSE),TEXT(B142,"00")),PLAYERS,5,FALSE)),"k")</f>
        <v>95k</v>
      </c>
    </row>
    <row r="143" spans="1:14" x14ac:dyDescent="0.25">
      <c r="A143" s="6" t="s">
        <v>105</v>
      </c>
      <c r="B143" s="6">
        <v>4</v>
      </c>
      <c r="D143" s="114" t="str">
        <f>CONCATENATE("0-",VLOOKUP(CONCATENATE(VLOOKUP(A143,TEAMS,2,FALSE),TEXT(B143,"00")),PLAYERS,$D$1,FALSE),IF(VLOOKUP(CONCATENATE(VLOOKUP(A143,TEAMS,2,FALSE),TEXT(B143,"00")),PLAYERS,$D$1+1,FALSE)="BG"," *",""))</f>
        <v>0-2</v>
      </c>
      <c r="E143" s="115" t="str">
        <f>VLOOKUP(CONCATENATE(VLOOKUP(A143,TEAMS,2,FALSE),TEXT($B143,"00")),PLAYERS,E$1,FALSE)</f>
        <v>Werewolf</v>
      </c>
      <c r="F143" s="113">
        <f>VLOOKUP(CONCATENATE(VLOOKUP(A143,TEAMS,2,FALSE),TEXT($B143,"00")),PLAYERS,F$1,FALSE)</f>
        <v>8</v>
      </c>
      <c r="G143" s="113">
        <f>VLOOKUP(CONCATENATE(VLOOKUP(A143,TEAMS,2,FALSE),TEXT($B143,"00")),PLAYERS,G$1,FALSE)</f>
        <v>3</v>
      </c>
      <c r="H143" s="113" t="str">
        <f>CONCATENATE(VLOOKUP(CONCATENATE(VLOOKUP(A143,TEAMS,2,FALSE),TEXT($B143,"00")),PLAYERS,H$1,FALSE),"+")</f>
        <v>3+</v>
      </c>
      <c r="I143" s="113" t="str">
        <f>CONCATENATE(VLOOKUP(CONCATENATE(VLOOKUP(A143,TEAMS,2,FALSE),TEXT($B143,"00")),PLAYERS,I$1,FALSE),IF(VLOOKUP(CONCATENATE(VLOOKUP(A143,TEAMS,2,FALSE),TEXT($B143,"00")),PLAYERS,I$1,FALSE)="-","","+"))</f>
        <v>4+</v>
      </c>
      <c r="J143" s="113" t="str">
        <f>CONCATENATE(VLOOKUP(CONCATENATE(VLOOKUP(A143,TEAMS,2,FALSE),TEXT($B143,"00")),PLAYERS,J$1,FALSE),"+")</f>
        <v>9+</v>
      </c>
      <c r="K143" s="115" t="str">
        <f>VLOOKUP(CONCATENATE(VLOOKUP(A143,TEAMS,2,FALSE),TEXT($B143,"00")),PLAYERS,K$1,FALSE)</f>
        <v>Claws, Frenzy*, Regeneration</v>
      </c>
      <c r="L143" s="114" t="str">
        <f>VLOOKUP(CONCATENATE(VLOOKUP(A143,TEAMS,2,FALSE),TEXT($B143,"00")),PLAYERS,L$1,FALSE)</f>
        <v>AG</v>
      </c>
      <c r="M143" s="114" t="str">
        <f>VLOOKUP(CONCATENATE(VLOOKUP(A143,TEAMS,2,FALSE),TEXT($B143,"00")),PLAYERS,M$1,FALSE)</f>
        <v>PS</v>
      </c>
      <c r="N143" s="113" t="str">
        <f>CONCATENATE(ABS(VLOOKUP(CONCATENATE(VLOOKUP(A143,TEAMS,2,FALSE),TEXT(B143,"00")),PLAYERS,5,FALSE)),"k")</f>
        <v>125k</v>
      </c>
    </row>
    <row r="144" spans="1:14" x14ac:dyDescent="0.25">
      <c r="A144" s="6" t="s">
        <v>105</v>
      </c>
      <c r="B144" s="6">
        <v>5</v>
      </c>
      <c r="D144" s="114" t="str">
        <f>CONCATENATE("0-",VLOOKUP(CONCATENATE(VLOOKUP(A144,TEAMS,2,FALSE),TEXT(B144,"00")),PLAYERS,$D$1,FALSE),IF(VLOOKUP(CONCATENATE(VLOOKUP(A144,TEAMS,2,FALSE),TEXT(B144,"00")),PLAYERS,$D$1+1,FALSE)="BG"," *",""))</f>
        <v>0-2</v>
      </c>
      <c r="E144" s="115" t="str">
        <f>VLOOKUP(CONCATENATE(VLOOKUP(A144,TEAMS,2,FALSE),TEXT($B144,"00")),PLAYERS,E$1,FALSE)</f>
        <v>Flesh Golem</v>
      </c>
      <c r="F144" s="113">
        <f>VLOOKUP(CONCATENATE(VLOOKUP(A144,TEAMS,2,FALSE),TEXT($B144,"00")),PLAYERS,F$1,FALSE)</f>
        <v>4</v>
      </c>
      <c r="G144" s="113">
        <f>VLOOKUP(CONCATENATE(VLOOKUP(A144,TEAMS,2,FALSE),TEXT($B144,"00")),PLAYERS,G$1,FALSE)</f>
        <v>4</v>
      </c>
      <c r="H144" s="113" t="str">
        <f>CONCATENATE(VLOOKUP(CONCATENATE(VLOOKUP(A144,TEAMS,2,FALSE),TEXT($B144,"00")),PLAYERS,H$1,FALSE),"+")</f>
        <v>4+</v>
      </c>
      <c r="I144" s="113" t="str">
        <f>CONCATENATE(VLOOKUP(CONCATENATE(VLOOKUP(A144,TEAMS,2,FALSE),TEXT($B144,"00")),PLAYERS,I$1,FALSE),IF(VLOOKUP(CONCATENATE(VLOOKUP(A144,TEAMS,2,FALSE),TEXT($B144,"00")),PLAYERS,I$1,FALSE)="-","","+"))</f>
        <v>-</v>
      </c>
      <c r="J144" s="113" t="str">
        <f>CONCATENATE(VLOOKUP(CONCATENATE(VLOOKUP(A144,TEAMS,2,FALSE),TEXT($B144,"00")),PLAYERS,J$1,FALSE),"+")</f>
        <v>10+</v>
      </c>
      <c r="K144" s="115" t="str">
        <f>VLOOKUP(CONCATENATE(VLOOKUP(A144,TEAMS,2,FALSE),TEXT($B144,"00")),PLAYERS,K$1,FALSE)</f>
        <v>Regeneration, Stand Firm, Thick Skull</v>
      </c>
      <c r="L144" s="114" t="str">
        <f>VLOOKUP(CONCATENATE(VLOOKUP(A144,TEAMS,2,FALSE),TEXT($B144,"00")),PLAYERS,L$1,FALSE)</f>
        <v>GS</v>
      </c>
      <c r="M144" s="114" t="str">
        <f>VLOOKUP(CONCATENATE(VLOOKUP(A144,TEAMS,2,FALSE),TEXT($B144,"00")),PLAYERS,M$1,FALSE)</f>
        <v>A</v>
      </c>
      <c r="N144" s="113" t="str">
        <f>CONCATENATE(ABS(VLOOKUP(CONCATENATE(VLOOKUP(A144,TEAMS,2,FALSE),TEXT(B144,"00")),PLAYERS,5,FALSE)),"k")</f>
        <v>115k</v>
      </c>
    </row>
    <row r="145" spans="1:14" x14ac:dyDescent="0.25">
      <c r="D145" s="64" t="s">
        <v>676</v>
      </c>
      <c r="E145" s="64" t="str">
        <f>CONCATENATE(VLOOKUP(A138,TEAMS,5,FALSE),"k")</f>
        <v>70k</v>
      </c>
      <c r="F145" s="466" t="s">
        <v>680</v>
      </c>
      <c r="G145" s="471"/>
      <c r="H145" s="471"/>
      <c r="I145" s="467"/>
      <c r="J145" s="113" t="str">
        <f>VLOOKUP(A138,TEAMS,6,FALSE)</f>
        <v>No</v>
      </c>
      <c r="K145" s="468" t="s">
        <v>681</v>
      </c>
      <c r="L145" s="469"/>
      <c r="M145" s="470"/>
      <c r="N145" s="116">
        <f>VLOOKUP(A138,TEAMS,8,FALSE)</f>
        <v>2</v>
      </c>
    </row>
    <row r="146" spans="1:14" ht="61.5" customHeight="1" x14ac:dyDescent="0.25">
      <c r="D146" s="466" t="s">
        <v>682</v>
      </c>
      <c r="E146" s="467"/>
      <c r="F146" s="462" t="str">
        <f>IFERROR(VLOOKUP(LEFT(VLOOKUP(A140,TEAMS,7,FALSE),3),SpecialRules,3,FALSE) &amp; VLOOKUP(MID(VLOOKUP(A140,TEAMS,7,FALSE),4,3),SpecialRules,3,FALSE),"")</f>
        <v xml:space="preserve">If a player on the opposing team with a Strength characteristic of 4 or less and that does not have the Regeneration or Stunty traits suffers a Casualty result of 15-16, DEAD, and if they cannot be saved by an apothecary, a new rookie Zombie Lineman player can be placed immediately in the Reserves box of this team’s dugout. Unless this team is a Vampire team, this team may not hire an Apothecary. This team is allowed to induce a Morturary Assistant. </v>
      </c>
      <c r="G146" s="462"/>
      <c r="H146" s="462"/>
      <c r="I146" s="462"/>
      <c r="J146" s="462"/>
      <c r="K146" s="462"/>
      <c r="L146" s="462"/>
      <c r="M146" s="462"/>
      <c r="N146" s="462"/>
    </row>
    <row r="147" spans="1:14" x14ac:dyDescent="0.25">
      <c r="D147" s="293"/>
      <c r="E147" s="293"/>
      <c r="F147" s="294"/>
      <c r="G147" s="294"/>
      <c r="H147" s="294"/>
      <c r="I147" s="294"/>
      <c r="J147" s="294"/>
      <c r="K147" s="294"/>
      <c r="L147" s="294"/>
      <c r="M147" s="294"/>
      <c r="N147" s="294"/>
    </row>
    <row r="148" spans="1:14" ht="21" x14ac:dyDescent="0.35">
      <c r="A148" s="6" t="s">
        <v>108</v>
      </c>
      <c r="B148" s="6">
        <v>6</v>
      </c>
      <c r="D148" s="472" t="str">
        <f>A148</f>
        <v>Norse</v>
      </c>
      <c r="E148" s="473"/>
      <c r="F148" s="473"/>
      <c r="G148" s="473"/>
      <c r="H148" s="473"/>
      <c r="I148" s="473"/>
      <c r="J148" s="473"/>
      <c r="K148" s="473"/>
      <c r="L148" s="473"/>
      <c r="M148" s="473"/>
      <c r="N148" s="474"/>
    </row>
    <row r="149" spans="1:14" x14ac:dyDescent="0.25">
      <c r="A149" s="6" t="s">
        <v>108</v>
      </c>
      <c r="D149" s="64" t="s">
        <v>952</v>
      </c>
      <c r="E149" s="64" t="s">
        <v>4</v>
      </c>
      <c r="F149" s="113" t="s">
        <v>5</v>
      </c>
      <c r="G149" s="113" t="s">
        <v>6</v>
      </c>
      <c r="H149" s="113" t="s">
        <v>7</v>
      </c>
      <c r="I149" s="113" t="s">
        <v>8</v>
      </c>
      <c r="J149" s="113" t="s">
        <v>9</v>
      </c>
      <c r="K149" s="64" t="s">
        <v>662</v>
      </c>
      <c r="L149" s="64" t="s">
        <v>674</v>
      </c>
      <c r="M149" s="64" t="s">
        <v>675</v>
      </c>
      <c r="N149" s="116" t="s">
        <v>879</v>
      </c>
    </row>
    <row r="150" spans="1:14" x14ac:dyDescent="0.25">
      <c r="A150" s="6" t="s">
        <v>108</v>
      </c>
      <c r="B150" s="6">
        <v>1</v>
      </c>
      <c r="D150" s="114" t="str">
        <f t="shared" ref="D150:D155" si="33">CONCATENATE("0-",VLOOKUP(CONCATENATE(VLOOKUP(A150,TEAMS,2,FALSE),TEXT(B150,"00")),PLAYERS,$D$1,FALSE),IF(VLOOKUP(CONCATENATE(VLOOKUP(A150,TEAMS,2,FALSE),TEXT(B150,"00")),PLAYERS,$D$1+1,FALSE)="BG"," *",""))</f>
        <v>0-16</v>
      </c>
      <c r="E150" s="115" t="str">
        <f t="shared" ref="E150:E155" si="34">VLOOKUP(CONCATENATE(VLOOKUP(A150,TEAMS,2,FALSE),TEXT($B150,"00")),PLAYERS,E$1,FALSE)</f>
        <v>Norse Raider Lineman</v>
      </c>
      <c r="F150" s="113">
        <f t="shared" ref="F150:F155" si="35">VLOOKUP(CONCATENATE(VLOOKUP(A150,TEAMS,2,FALSE),TEXT($B150,"00")),PLAYERS,F$1,FALSE)</f>
        <v>6</v>
      </c>
      <c r="G150" s="113">
        <f t="shared" ref="G150:G155" si="36">VLOOKUP(CONCATENATE(VLOOKUP(A150,TEAMS,2,FALSE),TEXT($B150,"00")),PLAYERS,G$1,FALSE)</f>
        <v>3</v>
      </c>
      <c r="H150" s="113" t="str">
        <f t="shared" ref="H150:H155" si="37">CONCATENATE(VLOOKUP(CONCATENATE(VLOOKUP(A150,TEAMS,2,FALSE),TEXT($B150,"00")),PLAYERS,H$1,FALSE),"+")</f>
        <v>3+</v>
      </c>
      <c r="I150" s="113" t="str">
        <f t="shared" ref="I150:I155" si="38">CONCATENATE(VLOOKUP(CONCATENATE(VLOOKUP(A150,TEAMS,2,FALSE),TEXT($B150,"00")),PLAYERS,I$1,FALSE),IF(VLOOKUP(CONCATENATE(VLOOKUP(A150,TEAMS,2,FALSE),TEXT($B150,"00")),PLAYERS,I$1,FALSE)="-","","+"))</f>
        <v>4+</v>
      </c>
      <c r="J150" s="113" t="str">
        <f t="shared" ref="J150:J155" si="39">CONCATENATE(VLOOKUP(CONCATENATE(VLOOKUP(A150,TEAMS,2,FALSE),TEXT($B150,"00")),PLAYERS,J$1,FALSE),"+")</f>
        <v>8+</v>
      </c>
      <c r="K150" s="115" t="str">
        <f t="shared" ref="K150:K155" si="40">VLOOKUP(CONCATENATE(VLOOKUP(A150,TEAMS,2,FALSE),TEXT($B150,"00")),PLAYERS,K$1,FALSE)</f>
        <v>Block, Drunkard, Thick Skull</v>
      </c>
      <c r="L150" s="114" t="str">
        <f t="shared" ref="L150:L155" si="41">VLOOKUP(CONCATENATE(VLOOKUP(A150,TEAMS,2,FALSE),TEXT($B150,"00")),PLAYERS,L$1,FALSE)</f>
        <v>G</v>
      </c>
      <c r="M150" s="114" t="str">
        <f t="shared" ref="M150:M155" si="42">VLOOKUP(CONCATENATE(VLOOKUP(A150,TEAMS,2,FALSE),TEXT($B150,"00")),PLAYERS,M$1,FALSE)</f>
        <v>APS</v>
      </c>
      <c r="N150" s="113" t="str">
        <f t="shared" ref="N150:N155" si="43">CONCATENATE(ABS(VLOOKUP(CONCATENATE(VLOOKUP(A150,TEAMS,2,FALSE),TEXT(B150,"00")),PLAYERS,5,FALSE)),"k")</f>
        <v>50k</v>
      </c>
    </row>
    <row r="151" spans="1:14" x14ac:dyDescent="0.25">
      <c r="A151" s="6" t="s">
        <v>108</v>
      </c>
      <c r="B151" s="6">
        <v>2</v>
      </c>
      <c r="D151" s="114" t="str">
        <f t="shared" si="33"/>
        <v>0-2</v>
      </c>
      <c r="E151" s="115" t="str">
        <f t="shared" si="34"/>
        <v>Norse Berserker</v>
      </c>
      <c r="F151" s="113">
        <f t="shared" si="35"/>
        <v>6</v>
      </c>
      <c r="G151" s="113">
        <f t="shared" si="36"/>
        <v>3</v>
      </c>
      <c r="H151" s="113" t="str">
        <f t="shared" si="37"/>
        <v>3+</v>
      </c>
      <c r="I151" s="113" t="str">
        <f t="shared" si="38"/>
        <v>5+</v>
      </c>
      <c r="J151" s="113" t="str">
        <f t="shared" si="39"/>
        <v>8+</v>
      </c>
      <c r="K151" s="115" t="str">
        <f t="shared" si="40"/>
        <v>Block, Frenzy*, Jump Up</v>
      </c>
      <c r="L151" s="114" t="str">
        <f t="shared" si="41"/>
        <v>GS</v>
      </c>
      <c r="M151" s="114" t="str">
        <f t="shared" si="42"/>
        <v>AP</v>
      </c>
      <c r="N151" s="113" t="str">
        <f t="shared" si="43"/>
        <v>90k</v>
      </c>
    </row>
    <row r="152" spans="1:14" x14ac:dyDescent="0.25">
      <c r="A152" s="6" t="s">
        <v>108</v>
      </c>
      <c r="B152" s="6">
        <v>3</v>
      </c>
      <c r="D152" s="114" t="str">
        <f t="shared" si="33"/>
        <v>0-2</v>
      </c>
      <c r="E152" s="115" t="str">
        <f t="shared" si="34"/>
        <v>Beer Boar</v>
      </c>
      <c r="F152" s="113">
        <f t="shared" si="35"/>
        <v>5</v>
      </c>
      <c r="G152" s="113">
        <f t="shared" si="36"/>
        <v>1</v>
      </c>
      <c r="H152" s="113" t="str">
        <f t="shared" si="37"/>
        <v>3+</v>
      </c>
      <c r="I152" s="113" t="str">
        <f t="shared" si="38"/>
        <v>-</v>
      </c>
      <c r="J152" s="113" t="str">
        <f t="shared" si="39"/>
        <v>6+</v>
      </c>
      <c r="K152" s="115" t="str">
        <f t="shared" si="40"/>
        <v>Dodge, No Hands, Pick-me-up, Stunty, Titchy</v>
      </c>
      <c r="L152" s="114" t="str">
        <f t="shared" si="41"/>
        <v>-</v>
      </c>
      <c r="M152" s="114" t="str">
        <f t="shared" si="42"/>
        <v>A</v>
      </c>
      <c r="N152" s="113" t="str">
        <f t="shared" si="43"/>
        <v>20k</v>
      </c>
    </row>
    <row r="153" spans="1:14" x14ac:dyDescent="0.25">
      <c r="A153" s="6" t="s">
        <v>108</v>
      </c>
      <c r="B153" s="6">
        <v>4</v>
      </c>
      <c r="D153" s="114" t="str">
        <f t="shared" si="33"/>
        <v>0-2</v>
      </c>
      <c r="E153" s="115" t="str">
        <f t="shared" si="34"/>
        <v>Valkyrie</v>
      </c>
      <c r="F153" s="113">
        <f t="shared" si="35"/>
        <v>7</v>
      </c>
      <c r="G153" s="113">
        <f t="shared" si="36"/>
        <v>3</v>
      </c>
      <c r="H153" s="113" t="str">
        <f t="shared" si="37"/>
        <v>3+</v>
      </c>
      <c r="I153" s="113" t="str">
        <f t="shared" si="38"/>
        <v>3+</v>
      </c>
      <c r="J153" s="113" t="str">
        <f t="shared" si="39"/>
        <v>8+</v>
      </c>
      <c r="K153" s="115" t="str">
        <f t="shared" si="40"/>
        <v>Catch, Dauntless, Pass, Strip Ball</v>
      </c>
      <c r="L153" s="114" t="str">
        <f t="shared" si="41"/>
        <v>AGP</v>
      </c>
      <c r="M153" s="114" t="str">
        <f t="shared" si="42"/>
        <v>S</v>
      </c>
      <c r="N153" s="113" t="str">
        <f t="shared" si="43"/>
        <v>95k</v>
      </c>
    </row>
    <row r="154" spans="1:14" x14ac:dyDescent="0.25">
      <c r="A154" s="6" t="s">
        <v>108</v>
      </c>
      <c r="B154" s="6">
        <v>5</v>
      </c>
      <c r="D154" s="114" t="str">
        <f t="shared" si="33"/>
        <v>0-2</v>
      </c>
      <c r="E154" s="115" t="str">
        <f t="shared" si="34"/>
        <v>Ulfwerener</v>
      </c>
      <c r="F154" s="113">
        <f t="shared" si="35"/>
        <v>6</v>
      </c>
      <c r="G154" s="113">
        <f t="shared" si="36"/>
        <v>4</v>
      </c>
      <c r="H154" s="113" t="str">
        <f t="shared" si="37"/>
        <v>4+</v>
      </c>
      <c r="I154" s="113" t="str">
        <f t="shared" si="38"/>
        <v>-</v>
      </c>
      <c r="J154" s="113" t="str">
        <f t="shared" si="39"/>
        <v>9+</v>
      </c>
      <c r="K154" s="115" t="str">
        <f t="shared" si="40"/>
        <v>Frenzy*</v>
      </c>
      <c r="L154" s="114" t="str">
        <f t="shared" si="41"/>
        <v>GS</v>
      </c>
      <c r="M154" s="114" t="str">
        <f t="shared" si="42"/>
        <v>A</v>
      </c>
      <c r="N154" s="113" t="str">
        <f t="shared" si="43"/>
        <v>105k</v>
      </c>
    </row>
    <row r="155" spans="1:14" ht="30" x14ac:dyDescent="0.25">
      <c r="A155" s="6" t="s">
        <v>108</v>
      </c>
      <c r="B155" s="6">
        <v>6</v>
      </c>
      <c r="D155" s="114" t="str">
        <f t="shared" si="33"/>
        <v>0-1</v>
      </c>
      <c r="E155" s="115" t="str">
        <f t="shared" si="34"/>
        <v>Yhetee</v>
      </c>
      <c r="F155" s="113">
        <f t="shared" si="35"/>
        <v>5</v>
      </c>
      <c r="G155" s="113">
        <f t="shared" si="36"/>
        <v>5</v>
      </c>
      <c r="H155" s="113" t="str">
        <f t="shared" si="37"/>
        <v>4+</v>
      </c>
      <c r="I155" s="113" t="str">
        <f t="shared" si="38"/>
        <v>-</v>
      </c>
      <c r="J155" s="113" t="str">
        <f t="shared" si="39"/>
        <v>9+</v>
      </c>
      <c r="K155" s="115" t="str">
        <f t="shared" si="40"/>
        <v>Claws, Disturbing Presence*, Frenzy*, Loner (4+)*, Unchannelled Fury*</v>
      </c>
      <c r="L155" s="114" t="str">
        <f t="shared" si="41"/>
        <v>S</v>
      </c>
      <c r="M155" s="114" t="str">
        <f t="shared" si="42"/>
        <v>AG</v>
      </c>
      <c r="N155" s="113" t="str">
        <f t="shared" si="43"/>
        <v>140k</v>
      </c>
    </row>
    <row r="156" spans="1:14" x14ac:dyDescent="0.25">
      <c r="D156" s="64" t="s">
        <v>676</v>
      </c>
      <c r="E156" s="64" t="str">
        <f>CONCATENATE(VLOOKUP(A148,TEAMS,5,FALSE),"k")</f>
        <v>60k</v>
      </c>
      <c r="F156" s="466" t="s">
        <v>680</v>
      </c>
      <c r="G156" s="471"/>
      <c r="H156" s="471"/>
      <c r="I156" s="467"/>
      <c r="J156" s="113" t="str">
        <f>VLOOKUP(A148,TEAMS,6,FALSE)</f>
        <v>Yes</v>
      </c>
      <c r="K156" s="468" t="s">
        <v>681</v>
      </c>
      <c r="L156" s="469"/>
      <c r="M156" s="470"/>
      <c r="N156" s="116">
        <f>VLOOKUP(A148,TEAMS,8,FALSE)</f>
        <v>2</v>
      </c>
    </row>
    <row r="157" spans="1:14" x14ac:dyDescent="0.25">
      <c r="D157" s="466" t="s">
        <v>682</v>
      </c>
      <c r="E157" s="467"/>
      <c r="F157" s="462" t="str">
        <f>IFERROR(VLOOKUP(LEFT(VLOOKUP(A151,TEAMS,7,FALSE),3),SpecialRules,3,FALSE) &amp; VLOOKUP(MID(VLOOKUP(A151,TEAMS,7,FALSE),4,3),SpecialRules,3,FALSE),"")</f>
        <v/>
      </c>
      <c r="G157" s="462"/>
      <c r="H157" s="462"/>
      <c r="I157" s="462"/>
      <c r="J157" s="462"/>
      <c r="K157" s="462"/>
      <c r="L157" s="462"/>
      <c r="M157" s="462"/>
      <c r="N157" s="462"/>
    </row>
    <row r="158" spans="1:14" x14ac:dyDescent="0.25">
      <c r="D158" s="465"/>
      <c r="E158" s="465"/>
      <c r="F158" s="465"/>
      <c r="G158" s="465"/>
      <c r="H158" s="465"/>
      <c r="I158" s="465"/>
      <c r="J158" s="465"/>
      <c r="K158" s="465"/>
      <c r="L158" s="465"/>
      <c r="M158" s="465"/>
      <c r="N158" s="465"/>
    </row>
    <row r="159" spans="1:14" ht="21" x14ac:dyDescent="0.35">
      <c r="A159" s="6" t="s">
        <v>106</v>
      </c>
      <c r="B159" s="6">
        <v>4</v>
      </c>
      <c r="D159" s="459" t="str">
        <f>A159</f>
        <v>Nurgle</v>
      </c>
      <c r="E159" s="459"/>
      <c r="F159" s="459"/>
      <c r="G159" s="459"/>
      <c r="H159" s="459"/>
      <c r="I159" s="459"/>
      <c r="J159" s="459"/>
      <c r="K159" s="459"/>
      <c r="L159" s="459"/>
      <c r="M159" s="459"/>
      <c r="N159" s="459"/>
    </row>
    <row r="160" spans="1:14" x14ac:dyDescent="0.25">
      <c r="A160" s="6" t="s">
        <v>106</v>
      </c>
      <c r="D160" s="64" t="s">
        <v>952</v>
      </c>
      <c r="E160" s="64" t="s">
        <v>4</v>
      </c>
      <c r="F160" s="113" t="s">
        <v>5</v>
      </c>
      <c r="G160" s="113" t="s">
        <v>6</v>
      </c>
      <c r="H160" s="113" t="s">
        <v>7</v>
      </c>
      <c r="I160" s="113" t="s">
        <v>8</v>
      </c>
      <c r="J160" s="113" t="s">
        <v>9</v>
      </c>
      <c r="K160" s="64" t="s">
        <v>662</v>
      </c>
      <c r="L160" s="64" t="s">
        <v>674</v>
      </c>
      <c r="M160" s="64" t="s">
        <v>675</v>
      </c>
      <c r="N160" s="116" t="s">
        <v>879</v>
      </c>
    </row>
    <row r="161" spans="1:14" x14ac:dyDescent="0.25">
      <c r="A161" s="6" t="s">
        <v>106</v>
      </c>
      <c r="B161" s="6">
        <v>1</v>
      </c>
      <c r="D161" s="114" t="str">
        <f>CONCATENATE("0-",VLOOKUP(CONCATENATE(VLOOKUP(A161,TEAMS,2,FALSE),TEXT(B161,"00")),PLAYERS,$D$1,FALSE),IF(VLOOKUP(CONCATENATE(VLOOKUP(A161,TEAMS,2,FALSE),TEXT(B161,"00")),PLAYERS,$D$1+1,FALSE)="BG"," *",""))</f>
        <v>0-12</v>
      </c>
      <c r="E161" s="115" t="str">
        <f>VLOOKUP(CONCATENATE(VLOOKUP(A161,TEAMS,2,FALSE),TEXT($B161,"00")),PLAYERS,E$1,FALSE)</f>
        <v>Rotter Lineman</v>
      </c>
      <c r="F161" s="113">
        <f>VLOOKUP(CONCATENATE(VLOOKUP(A161,TEAMS,2,FALSE),TEXT($B161,"00")),PLAYERS,F$1,FALSE)</f>
        <v>5</v>
      </c>
      <c r="G161" s="113">
        <f>VLOOKUP(CONCATENATE(VLOOKUP(A161,TEAMS,2,FALSE),TEXT($B161,"00")),PLAYERS,G$1,FALSE)</f>
        <v>3</v>
      </c>
      <c r="H161" s="113" t="str">
        <f>CONCATENATE(VLOOKUP(CONCATENATE(VLOOKUP(A161,TEAMS,2,FALSE),TEXT($B161,"00")),PLAYERS,H$1,FALSE),"+")</f>
        <v>4+</v>
      </c>
      <c r="I161" s="113" t="str">
        <f>CONCATENATE(VLOOKUP(CONCATENATE(VLOOKUP(A161,TEAMS,2,FALSE),TEXT($B161,"00")),PLAYERS,I$1,FALSE),IF(VLOOKUP(CONCATENATE(VLOOKUP(A161,TEAMS,2,FALSE),TEXT($B161,"00")),PLAYERS,I$1,FALSE)="-","","+"))</f>
        <v>6+</v>
      </c>
      <c r="J161" s="113" t="str">
        <f>CONCATENATE(VLOOKUP(CONCATENATE(VLOOKUP(A161,TEAMS,2,FALSE),TEXT($B161,"00")),PLAYERS,J$1,FALSE),"+")</f>
        <v>9+</v>
      </c>
      <c r="K161" s="115" t="str">
        <f>VLOOKUP(CONCATENATE(VLOOKUP(A161,TEAMS,2,FALSE),TEXT($B161,"00")),PLAYERS,K$1,FALSE)</f>
        <v>Decay*, Plague Ridden</v>
      </c>
      <c r="L161" s="114" t="str">
        <f>VLOOKUP(CONCATENATE(VLOOKUP(A161,TEAMS,2,FALSE),TEXT($B161,"00")),PLAYERS,L$1,FALSE)</f>
        <v>GM</v>
      </c>
      <c r="M161" s="114" t="str">
        <f>VLOOKUP(CONCATENATE(VLOOKUP(A161,TEAMS,2,FALSE),TEXT($B161,"00")),PLAYERS,M$1,FALSE)</f>
        <v>AS</v>
      </c>
      <c r="N161" s="113" t="str">
        <f>CONCATENATE(ABS(VLOOKUP(CONCATENATE(VLOOKUP(A161,TEAMS,2,FALSE),TEXT(B161,"00")),PLAYERS,5,FALSE)),"k")</f>
        <v>35k</v>
      </c>
    </row>
    <row r="162" spans="1:14" x14ac:dyDescent="0.25">
      <c r="A162" s="6" t="s">
        <v>106</v>
      </c>
      <c r="B162" s="6">
        <v>2</v>
      </c>
      <c r="D162" s="114" t="str">
        <f>CONCATENATE("0-",VLOOKUP(CONCATENATE(VLOOKUP(A162,TEAMS,2,FALSE),TEXT(B162,"00")),PLAYERS,$D$1,FALSE),IF(VLOOKUP(CONCATENATE(VLOOKUP(A162,TEAMS,2,FALSE),TEXT(B162,"00")),PLAYERS,$D$1+1,FALSE)="BG"," *",""))</f>
        <v>0-4</v>
      </c>
      <c r="E162" s="115" t="str">
        <f>VLOOKUP(CONCATENATE(VLOOKUP(A162,TEAMS,2,FALSE),TEXT($B162,"00")),PLAYERS,E$1,FALSE)</f>
        <v>Pestigor</v>
      </c>
      <c r="F162" s="113">
        <f>VLOOKUP(CONCATENATE(VLOOKUP(A162,TEAMS,2,FALSE),TEXT($B162,"00")),PLAYERS,F$1,FALSE)</f>
        <v>6</v>
      </c>
      <c r="G162" s="113">
        <f>VLOOKUP(CONCATENATE(VLOOKUP(A162,TEAMS,2,FALSE),TEXT($B162,"00")),PLAYERS,G$1,FALSE)</f>
        <v>3</v>
      </c>
      <c r="H162" s="113" t="str">
        <f>CONCATENATE(VLOOKUP(CONCATENATE(VLOOKUP(A162,TEAMS,2,FALSE),TEXT($B162,"00")),PLAYERS,H$1,FALSE),"+")</f>
        <v>3+</v>
      </c>
      <c r="I162" s="113" t="str">
        <f>CONCATENATE(VLOOKUP(CONCATENATE(VLOOKUP(A162,TEAMS,2,FALSE),TEXT($B162,"00")),PLAYERS,I$1,FALSE),IF(VLOOKUP(CONCATENATE(VLOOKUP(A162,TEAMS,2,FALSE),TEXT($B162,"00")),PLAYERS,I$1,FALSE)="-","","+"))</f>
        <v>4+</v>
      </c>
      <c r="J162" s="113" t="str">
        <f>CONCATENATE(VLOOKUP(CONCATENATE(VLOOKUP(A162,TEAMS,2,FALSE),TEXT($B162,"00")),PLAYERS,J$1,FALSE),"+")</f>
        <v>9+</v>
      </c>
      <c r="K162" s="115" t="str">
        <f>VLOOKUP(CONCATENATE(VLOOKUP(A162,TEAMS,2,FALSE),TEXT($B162,"00")),PLAYERS,K$1,FALSE)</f>
        <v>Horns, Plague Ridden, Regeneration</v>
      </c>
      <c r="L162" s="114" t="str">
        <f>VLOOKUP(CONCATENATE(VLOOKUP(A162,TEAMS,2,FALSE),TEXT($B162,"00")),PLAYERS,L$1,FALSE)</f>
        <v>GMS</v>
      </c>
      <c r="M162" s="114" t="str">
        <f>VLOOKUP(CONCATENATE(VLOOKUP(A162,TEAMS,2,FALSE),TEXT($B162,"00")),PLAYERS,M$1,FALSE)</f>
        <v>AP</v>
      </c>
      <c r="N162" s="113" t="str">
        <f>CONCATENATE(ABS(VLOOKUP(CONCATENATE(VLOOKUP(A162,TEAMS,2,FALSE),TEXT(B162,"00")),PLAYERS,5,FALSE)),"k")</f>
        <v>75k</v>
      </c>
    </row>
    <row r="163" spans="1:14" ht="30" x14ac:dyDescent="0.25">
      <c r="A163" s="6" t="s">
        <v>106</v>
      </c>
      <c r="B163" s="6">
        <v>3</v>
      </c>
      <c r="D163" s="114" t="str">
        <f>CONCATENATE("0-",VLOOKUP(CONCATENATE(VLOOKUP(A163,TEAMS,2,FALSE),TEXT(B163,"00")),PLAYERS,$D$1,FALSE),IF(VLOOKUP(CONCATENATE(VLOOKUP(A163,TEAMS,2,FALSE),TEXT(B163,"00")),PLAYERS,$D$1+1,FALSE)="BG"," *",""))</f>
        <v>0-4</v>
      </c>
      <c r="E163" s="115" t="str">
        <f>VLOOKUP(CONCATENATE(VLOOKUP(A163,TEAMS,2,FALSE),TEXT($B163,"00")),PLAYERS,E$1,FALSE)</f>
        <v>Bloater</v>
      </c>
      <c r="F163" s="113">
        <f>VLOOKUP(CONCATENATE(VLOOKUP(A163,TEAMS,2,FALSE),TEXT($B163,"00")),PLAYERS,F$1,FALSE)</f>
        <v>4</v>
      </c>
      <c r="G163" s="113">
        <f>VLOOKUP(CONCATENATE(VLOOKUP(A163,TEAMS,2,FALSE),TEXT($B163,"00")),PLAYERS,G$1,FALSE)</f>
        <v>4</v>
      </c>
      <c r="H163" s="113" t="str">
        <f>CONCATENATE(VLOOKUP(CONCATENATE(VLOOKUP(A163,TEAMS,2,FALSE),TEXT($B163,"00")),PLAYERS,H$1,FALSE),"+")</f>
        <v>4+</v>
      </c>
      <c r="I163" s="113" t="str">
        <f>CONCATENATE(VLOOKUP(CONCATENATE(VLOOKUP(A163,TEAMS,2,FALSE),TEXT($B163,"00")),PLAYERS,I$1,FALSE),IF(VLOOKUP(CONCATENATE(VLOOKUP(A163,TEAMS,2,FALSE),TEXT($B163,"00")),PLAYERS,I$1,FALSE)="-","","+"))</f>
        <v>6+</v>
      </c>
      <c r="J163" s="113" t="str">
        <f>CONCATENATE(VLOOKUP(CONCATENATE(VLOOKUP(A163,TEAMS,2,FALSE),TEXT($B163,"00")),PLAYERS,J$1,FALSE),"+")</f>
        <v>10+</v>
      </c>
      <c r="K163" s="115" t="str">
        <f>VLOOKUP(CONCATENATE(VLOOKUP(A163,TEAMS,2,FALSE),TEXT($B163,"00")),PLAYERS,K$1,FALSE)</f>
        <v>Disturbing Presence*, Foul Appearance*, Plague Ridden, Regeneration</v>
      </c>
      <c r="L163" s="114" t="str">
        <f>VLOOKUP(CONCATENATE(VLOOKUP(A163,TEAMS,2,FALSE),TEXT($B163,"00")),PLAYERS,L$1,FALSE)</f>
        <v>GMS</v>
      </c>
      <c r="M163" s="114" t="str">
        <f>VLOOKUP(CONCATENATE(VLOOKUP(A163,TEAMS,2,FALSE),TEXT($B163,"00")),PLAYERS,M$1,FALSE)</f>
        <v>A</v>
      </c>
      <c r="N163" s="113" t="str">
        <f>CONCATENATE(ABS(VLOOKUP(CONCATENATE(VLOOKUP(A163,TEAMS,2,FALSE),TEXT(B163,"00")),PLAYERS,5,FALSE)),"k")</f>
        <v>115k</v>
      </c>
    </row>
    <row r="164" spans="1:14" ht="45" x14ac:dyDescent="0.25">
      <c r="A164" s="6" t="s">
        <v>106</v>
      </c>
      <c r="B164" s="6">
        <v>4</v>
      </c>
      <c r="D164" s="114" t="str">
        <f>CONCATENATE("0-",VLOOKUP(CONCATENATE(VLOOKUP(A164,TEAMS,2,FALSE),TEXT(B164,"00")),PLAYERS,$D$1,FALSE),IF(VLOOKUP(CONCATENATE(VLOOKUP(A164,TEAMS,2,FALSE),TEXT(B164,"00")),PLAYERS,$D$1+1,FALSE)="BG"," *",""))</f>
        <v>0-1</v>
      </c>
      <c r="E164" s="115" t="str">
        <f>VLOOKUP(CONCATENATE(VLOOKUP(A164,TEAMS,2,FALSE),TEXT($B164,"00")),PLAYERS,E$1,FALSE)</f>
        <v>Rotspawn</v>
      </c>
      <c r="F164" s="113">
        <f>VLOOKUP(CONCATENATE(VLOOKUP(A164,TEAMS,2,FALSE),TEXT($B164,"00")),PLAYERS,F$1,FALSE)</f>
        <v>4</v>
      </c>
      <c r="G164" s="113">
        <f>VLOOKUP(CONCATENATE(VLOOKUP(A164,TEAMS,2,FALSE),TEXT($B164,"00")),PLAYERS,G$1,FALSE)</f>
        <v>5</v>
      </c>
      <c r="H164" s="113" t="str">
        <f>CONCATENATE(VLOOKUP(CONCATENATE(VLOOKUP(A164,TEAMS,2,FALSE),TEXT($B164,"00")),PLAYERS,H$1,FALSE),"+")</f>
        <v>5+</v>
      </c>
      <c r="I164" s="113" t="str">
        <f>CONCATENATE(VLOOKUP(CONCATENATE(VLOOKUP(A164,TEAMS,2,FALSE),TEXT($B164,"00")),PLAYERS,I$1,FALSE),IF(VLOOKUP(CONCATENATE(VLOOKUP(A164,TEAMS,2,FALSE),TEXT($B164,"00")),PLAYERS,I$1,FALSE)="-","","+"))</f>
        <v>-</v>
      </c>
      <c r="J164" s="113" t="str">
        <f>CONCATENATE(VLOOKUP(CONCATENATE(VLOOKUP(A164,TEAMS,2,FALSE),TEXT($B164,"00")),PLAYERS,J$1,FALSE),"+")</f>
        <v>10+</v>
      </c>
      <c r="K164" s="115" t="str">
        <f>VLOOKUP(CONCATENATE(VLOOKUP(A164,TEAMS,2,FALSE),TEXT($B164,"00")),PLAYERS,K$1,FALSE)</f>
        <v>Disturbing Presence*, Foul Appearance*, Loner (4+)*, Mighty Blow (+1), Plague Ridden, Really Stupid*, Regeneration, Tentacles</v>
      </c>
      <c r="L164" s="114" t="str">
        <f>VLOOKUP(CONCATENATE(VLOOKUP(A164,TEAMS,2,FALSE),TEXT($B164,"00")),PLAYERS,L$1,FALSE)</f>
        <v>S</v>
      </c>
      <c r="M164" s="114" t="str">
        <f>VLOOKUP(CONCATENATE(VLOOKUP(A164,TEAMS,2,FALSE),TEXT($B164,"00")),PLAYERS,M$1,FALSE)</f>
        <v>AGM</v>
      </c>
      <c r="N164" s="113" t="str">
        <f>CONCATENATE(ABS(VLOOKUP(CONCATENATE(VLOOKUP(A164,TEAMS,2,FALSE),TEXT(B164,"00")),PLAYERS,5,FALSE)),"k")</f>
        <v>140k</v>
      </c>
    </row>
    <row r="165" spans="1:14" x14ac:dyDescent="0.25">
      <c r="D165" s="64" t="s">
        <v>676</v>
      </c>
      <c r="E165" s="64" t="str">
        <f>CONCATENATE(VLOOKUP(A159,TEAMS,5,FALSE),"k")</f>
        <v>70k</v>
      </c>
      <c r="F165" s="466" t="s">
        <v>680</v>
      </c>
      <c r="G165" s="471"/>
      <c r="H165" s="471"/>
      <c r="I165" s="467"/>
      <c r="J165" s="113" t="str">
        <f>VLOOKUP(A159,TEAMS,6,FALSE)</f>
        <v>No</v>
      </c>
      <c r="K165" s="468" t="s">
        <v>681</v>
      </c>
      <c r="L165" s="469"/>
      <c r="M165" s="470"/>
      <c r="N165" s="116">
        <f>VLOOKUP(A159,TEAMS,8,FALSE)</f>
        <v>3</v>
      </c>
    </row>
    <row r="166" spans="1:14" ht="15" customHeight="1" x14ac:dyDescent="0.25">
      <c r="D166" s="466" t="s">
        <v>682</v>
      </c>
      <c r="E166" s="467"/>
      <c r="F166" s="462" t="str">
        <f>IFERROR(VLOOKUP(LEFT(VLOOKUP(A160,TEAMS,7,FALSE),3),SpecialRules,3,FALSE) &amp; VLOOKUP(MID(VLOOKUP(A160,TEAMS,7,FALSE),4,3),SpecialRules,3,FALSE),"")</f>
        <v>This team may not hire an Apothecary, but is allowed to induce a Plague Doctor.</v>
      </c>
      <c r="G166" s="462"/>
      <c r="H166" s="462"/>
      <c r="I166" s="462"/>
      <c r="J166" s="462"/>
      <c r="K166" s="462"/>
      <c r="L166" s="462"/>
      <c r="M166" s="462"/>
      <c r="N166" s="462"/>
    </row>
    <row r="167" spans="1:14" x14ac:dyDescent="0.25">
      <c r="D167" s="465"/>
      <c r="E167" s="465"/>
      <c r="F167" s="465"/>
      <c r="G167" s="465"/>
      <c r="H167" s="465"/>
      <c r="I167" s="465"/>
      <c r="J167" s="465"/>
      <c r="K167" s="465"/>
      <c r="L167" s="465"/>
      <c r="M167" s="465"/>
      <c r="N167" s="465"/>
    </row>
    <row r="168" spans="1:14" ht="21" x14ac:dyDescent="0.35">
      <c r="A168" s="6" t="s">
        <v>107</v>
      </c>
      <c r="B168" s="6">
        <v>3</v>
      </c>
      <c r="D168" s="459" t="str">
        <f>A168</f>
        <v>Ogre</v>
      </c>
      <c r="E168" s="459"/>
      <c r="F168" s="459"/>
      <c r="G168" s="459"/>
      <c r="H168" s="459"/>
      <c r="I168" s="459"/>
      <c r="J168" s="459"/>
      <c r="K168" s="459"/>
      <c r="L168" s="459"/>
      <c r="M168" s="459"/>
      <c r="N168" s="459"/>
    </row>
    <row r="169" spans="1:14" x14ac:dyDescent="0.25">
      <c r="A169" s="6" t="s">
        <v>107</v>
      </c>
      <c r="D169" s="64" t="s">
        <v>952</v>
      </c>
      <c r="E169" s="64" t="s">
        <v>4</v>
      </c>
      <c r="F169" s="113" t="s">
        <v>5</v>
      </c>
      <c r="G169" s="113" t="s">
        <v>6</v>
      </c>
      <c r="H169" s="113" t="s">
        <v>7</v>
      </c>
      <c r="I169" s="113" t="s">
        <v>8</v>
      </c>
      <c r="J169" s="113" t="s">
        <v>9</v>
      </c>
      <c r="K169" s="64" t="s">
        <v>662</v>
      </c>
      <c r="L169" s="64" t="s">
        <v>674</v>
      </c>
      <c r="M169" s="64" t="s">
        <v>675</v>
      </c>
      <c r="N169" s="116" t="s">
        <v>879</v>
      </c>
    </row>
    <row r="170" spans="1:14" x14ac:dyDescent="0.25">
      <c r="A170" s="6" t="s">
        <v>107</v>
      </c>
      <c r="B170" s="6">
        <v>1</v>
      </c>
      <c r="D170" s="114" t="str">
        <f>CONCATENATE("0-",VLOOKUP(CONCATENATE(VLOOKUP(A170,TEAMS,2,FALSE),TEXT(B170,"00")),PLAYERS,$D$1,FALSE),IF(VLOOKUP(CONCATENATE(VLOOKUP(A170,TEAMS,2,FALSE),TEXT(B170,"00")),PLAYERS,$D$1+1,FALSE)="BG"," *",""))</f>
        <v>0-16</v>
      </c>
      <c r="E170" s="115" t="str">
        <f>VLOOKUP(CONCATENATE(VLOOKUP(A170,TEAMS,2,FALSE),TEXT($B170,"00")),PLAYERS,E$1,FALSE)</f>
        <v>Gnoblar Lineman</v>
      </c>
      <c r="F170" s="113">
        <f>VLOOKUP(CONCATENATE(VLOOKUP(A170,TEAMS,2,FALSE),TEXT($B170,"00")),PLAYERS,F$1,FALSE)</f>
        <v>5</v>
      </c>
      <c r="G170" s="113">
        <f>VLOOKUP(CONCATENATE(VLOOKUP(A170,TEAMS,2,FALSE),TEXT($B170,"00")),PLAYERS,G$1,FALSE)</f>
        <v>1</v>
      </c>
      <c r="H170" s="113" t="str">
        <f>CONCATENATE(VLOOKUP(CONCATENATE(VLOOKUP(A170,TEAMS,2,FALSE),TEXT($B170,"00")),PLAYERS,H$1,FALSE),"+")</f>
        <v>3+</v>
      </c>
      <c r="I170" s="113" t="str">
        <f>CONCATENATE(VLOOKUP(CONCATENATE(VLOOKUP(A170,TEAMS,2,FALSE),TEXT($B170,"00")),PLAYERS,I$1,FALSE),IF(VLOOKUP(CONCATENATE(VLOOKUP(A170,TEAMS,2,FALSE),TEXT($B170,"00")),PLAYERS,I$1,FALSE)="-","","+"))</f>
        <v>5+</v>
      </c>
      <c r="J170" s="113" t="str">
        <f>CONCATENATE(VLOOKUP(CONCATENATE(VLOOKUP(A170,TEAMS,2,FALSE),TEXT($B170,"00")),PLAYERS,J$1,FALSE),"+")</f>
        <v>6+</v>
      </c>
      <c r="K170" s="115" t="str">
        <f>VLOOKUP(CONCATENATE(VLOOKUP(A170,TEAMS,2,FALSE),TEXT($B170,"00")),PLAYERS,K$1,FALSE)</f>
        <v>Dodge, Right Stuff*, Sidestep, Stunty*, Titchy*</v>
      </c>
      <c r="L170" s="114" t="str">
        <f>VLOOKUP(CONCATENATE(VLOOKUP(A170,TEAMS,2,FALSE),TEXT($B170,"00")),PLAYERS,L$1,FALSE)</f>
        <v>A</v>
      </c>
      <c r="M170" s="114" t="str">
        <f>VLOOKUP(CONCATENATE(VLOOKUP(A170,TEAMS,2,FALSE),TEXT($B170,"00")),PLAYERS,M$1,FALSE)</f>
        <v>G</v>
      </c>
      <c r="N170" s="113" t="str">
        <f>CONCATENATE(ABS(VLOOKUP(CONCATENATE(VLOOKUP(A170,TEAMS,2,FALSE),TEXT(B170,"00")),PLAYERS,5,FALSE)),"k")</f>
        <v>15k</v>
      </c>
    </row>
    <row r="171" spans="1:14" ht="30" x14ac:dyDescent="0.25">
      <c r="A171" s="6" t="s">
        <v>107</v>
      </c>
      <c r="B171" s="6">
        <v>2</v>
      </c>
      <c r="D171" s="114" t="str">
        <f>CONCATENATE("0-",VLOOKUP(CONCATENATE(VLOOKUP(A171,TEAMS,2,FALSE),TEXT(B171,"00")),PLAYERS,$D$1,FALSE),IF(VLOOKUP(CONCATENATE(VLOOKUP(A171,TEAMS,2,FALSE),TEXT(B171,"00")),PLAYERS,$D$1+1,FALSE)="BG"," *",""))</f>
        <v>0-1</v>
      </c>
      <c r="E171" s="115" t="str">
        <f>VLOOKUP(CONCATENATE(VLOOKUP(A171,TEAMS,2,FALSE),TEXT($B171,"00")),PLAYERS,E$1,FALSE)</f>
        <v>Ogre Runt Punter</v>
      </c>
      <c r="F171" s="113">
        <f>VLOOKUP(CONCATENATE(VLOOKUP(A171,TEAMS,2,FALSE),TEXT($B171,"00")),PLAYERS,F$1,FALSE)</f>
        <v>5</v>
      </c>
      <c r="G171" s="113">
        <f>VLOOKUP(CONCATENATE(VLOOKUP(A171,TEAMS,2,FALSE),TEXT($B171,"00")),PLAYERS,G$1,FALSE)</f>
        <v>5</v>
      </c>
      <c r="H171" s="113" t="str">
        <f>CONCATENATE(VLOOKUP(CONCATENATE(VLOOKUP(A171,TEAMS,2,FALSE),TEXT($B171,"00")),PLAYERS,H$1,FALSE),"+")</f>
        <v>4+</v>
      </c>
      <c r="I171" s="113" t="str">
        <f>CONCATENATE(VLOOKUP(CONCATENATE(VLOOKUP(A171,TEAMS,2,FALSE),TEXT($B171,"00")),PLAYERS,I$1,FALSE),IF(VLOOKUP(CONCATENATE(VLOOKUP(A171,TEAMS,2,FALSE),TEXT($B171,"00")),PLAYERS,I$1,FALSE)="-","","+"))</f>
        <v>4+</v>
      </c>
      <c r="J171" s="113" t="str">
        <f>CONCATENATE(VLOOKUP(CONCATENATE(VLOOKUP(A171,TEAMS,2,FALSE),TEXT($B171,"00")),PLAYERS,J$1,FALSE),"+")</f>
        <v>10+</v>
      </c>
      <c r="K171" s="115" t="str">
        <f>VLOOKUP(CONCATENATE(VLOOKUP(A171,TEAMS,2,FALSE),TEXT($B171,"00")),PLAYERS,K$1,FALSE)</f>
        <v>Bone Head*, Kick Team-mate, Mighty Blow (+1), Thick Skull</v>
      </c>
      <c r="L171" s="114" t="str">
        <f>VLOOKUP(CONCATENATE(VLOOKUP(A171,TEAMS,2,FALSE),TEXT($B171,"00")),PLAYERS,L$1,FALSE)</f>
        <v>PS</v>
      </c>
      <c r="M171" s="114" t="str">
        <f>VLOOKUP(CONCATENATE(VLOOKUP(A171,TEAMS,2,FALSE),TEXT($B171,"00")),PLAYERS,M$1,FALSE)</f>
        <v>AG</v>
      </c>
      <c r="N171" s="113" t="str">
        <f>CONCATENATE(ABS(VLOOKUP(CONCATENATE(VLOOKUP(A171,TEAMS,2,FALSE),TEXT(B171,"00")),PLAYERS,5,FALSE)),"k")</f>
        <v>145k</v>
      </c>
    </row>
    <row r="172" spans="1:14" ht="30" x14ac:dyDescent="0.25">
      <c r="A172" s="6" t="s">
        <v>107</v>
      </c>
      <c r="B172" s="6">
        <v>3</v>
      </c>
      <c r="D172" s="114" t="str">
        <f>CONCATENATE("0-",VLOOKUP(CONCATENATE(VLOOKUP(A172,TEAMS,2,FALSE),TEXT(B172,"00")),PLAYERS,$D$1,FALSE),IF(VLOOKUP(CONCATENATE(VLOOKUP(A172,TEAMS,2,FALSE),TEXT(B172,"00")),PLAYERS,$D$1+1,FALSE)="BG"," *",""))</f>
        <v>0-5</v>
      </c>
      <c r="E172" s="115" t="str">
        <f>VLOOKUP(CONCATENATE(VLOOKUP(A172,TEAMS,2,FALSE),TEXT($B172,"00")),PLAYERS,E$1,FALSE)</f>
        <v>Ogre Blocker</v>
      </c>
      <c r="F172" s="113">
        <f>VLOOKUP(CONCATENATE(VLOOKUP(A172,TEAMS,2,FALSE),TEXT($B172,"00")),PLAYERS,F$1,FALSE)</f>
        <v>5</v>
      </c>
      <c r="G172" s="113">
        <f>VLOOKUP(CONCATENATE(VLOOKUP(A172,TEAMS,2,FALSE),TEXT($B172,"00")),PLAYERS,G$1,FALSE)</f>
        <v>5</v>
      </c>
      <c r="H172" s="113" t="str">
        <f>CONCATENATE(VLOOKUP(CONCATENATE(VLOOKUP(A172,TEAMS,2,FALSE),TEXT($B172,"00")),PLAYERS,H$1,FALSE),"+")</f>
        <v>4+</v>
      </c>
      <c r="I172" s="113" t="str">
        <f>CONCATENATE(VLOOKUP(CONCATENATE(VLOOKUP(A172,TEAMS,2,FALSE),TEXT($B172,"00")),PLAYERS,I$1,FALSE),IF(VLOOKUP(CONCATENATE(VLOOKUP(A172,TEAMS,2,FALSE),TEXT($B172,"00")),PLAYERS,I$1,FALSE)="-","","+"))</f>
        <v>5+</v>
      </c>
      <c r="J172" s="113" t="str">
        <f>CONCATENATE(VLOOKUP(CONCATENATE(VLOOKUP(A172,TEAMS,2,FALSE),TEXT($B172,"00")),PLAYERS,J$1,FALSE),"+")</f>
        <v>10+</v>
      </c>
      <c r="K172" s="115" t="str">
        <f>VLOOKUP(CONCATENATE(VLOOKUP(A172,TEAMS,2,FALSE),TEXT($B172,"00")),PLAYERS,K$1,FALSE)</f>
        <v>Bone Head*, Mighty Blow (+1), Thick Skull, Throw Team-mate</v>
      </c>
      <c r="L172" s="114" t="str">
        <f>VLOOKUP(CONCATENATE(VLOOKUP(A172,TEAMS,2,FALSE),TEXT($B172,"00")),PLAYERS,L$1,FALSE)</f>
        <v>S</v>
      </c>
      <c r="M172" s="114" t="str">
        <f>VLOOKUP(CONCATENATE(VLOOKUP(A172,TEAMS,2,FALSE),TEXT($B172,"00")),PLAYERS,M$1,FALSE)</f>
        <v>AGP</v>
      </c>
      <c r="N172" s="113" t="str">
        <f>CONCATENATE(ABS(VLOOKUP(CONCATENATE(VLOOKUP(A172,TEAMS,2,FALSE),TEXT(B172,"00")),PLAYERS,5,FALSE)),"k")</f>
        <v>140k</v>
      </c>
    </row>
    <row r="173" spans="1:14" x14ac:dyDescent="0.25">
      <c r="D173" s="64" t="s">
        <v>676</v>
      </c>
      <c r="E173" s="64" t="str">
        <f>CONCATENATE(VLOOKUP(A168,TEAMS,5,FALSE),"k")</f>
        <v>70k</v>
      </c>
      <c r="F173" s="466" t="s">
        <v>680</v>
      </c>
      <c r="G173" s="471"/>
      <c r="H173" s="471"/>
      <c r="I173" s="467"/>
      <c r="J173" s="113" t="str">
        <f>VLOOKUP(A168,TEAMS,6,FALSE)</f>
        <v>Yes</v>
      </c>
      <c r="K173" s="468" t="s">
        <v>681</v>
      </c>
      <c r="L173" s="469"/>
      <c r="M173" s="470"/>
      <c r="N173" s="116">
        <f>VLOOKUP(A168,TEAMS,8,FALSE)</f>
        <v>5</v>
      </c>
    </row>
    <row r="174" spans="1:14" ht="45.75" customHeight="1" x14ac:dyDescent="0.25">
      <c r="D174" s="466" t="s">
        <v>682</v>
      </c>
      <c r="E174" s="467"/>
      <c r="F174" s="462" t="str">
        <f>IFERROR(VLOOKUP(LEFT(VLOOKUP(A168,TEAMS,7,FALSE),3),SpecialRules,3,FALSE) &amp; VLOOKUP(MID(VLOOKUP(A168,TEAMS,7,FALSE),4,3),SpecialRules,3,FALSE),"")</f>
        <v>In league play (but not in exhibition play), when calculating the Current Value of any permanently hired Lineman players on a team with this special rule, the Hiring Fee of that player is not included.</v>
      </c>
      <c r="G174" s="462"/>
      <c r="H174" s="462"/>
      <c r="I174" s="462"/>
      <c r="J174" s="462"/>
      <c r="K174" s="462"/>
      <c r="L174" s="462"/>
      <c r="M174" s="462"/>
      <c r="N174" s="462"/>
    </row>
    <row r="175" spans="1:14" x14ac:dyDescent="0.25">
      <c r="D175" s="465"/>
      <c r="E175" s="465"/>
      <c r="F175" s="465"/>
      <c r="G175" s="465"/>
      <c r="H175" s="465"/>
      <c r="I175" s="465"/>
      <c r="J175" s="465"/>
      <c r="K175" s="465"/>
      <c r="L175" s="465"/>
      <c r="M175" s="465"/>
      <c r="N175" s="465"/>
    </row>
    <row r="176" spans="1:14" ht="21" x14ac:dyDescent="0.35">
      <c r="A176" s="6" t="s">
        <v>109</v>
      </c>
      <c r="B176" s="6">
        <v>11</v>
      </c>
      <c r="D176" s="459" t="str">
        <f>A176</f>
        <v>Old World Alliance</v>
      </c>
      <c r="E176" s="459"/>
      <c r="F176" s="459"/>
      <c r="G176" s="459"/>
      <c r="H176" s="459"/>
      <c r="I176" s="459"/>
      <c r="J176" s="459"/>
      <c r="K176" s="459"/>
      <c r="L176" s="459"/>
      <c r="M176" s="459"/>
      <c r="N176" s="459"/>
    </row>
    <row r="177" spans="1:14" x14ac:dyDescent="0.25">
      <c r="A177" s="6" t="s">
        <v>109</v>
      </c>
      <c r="D177" s="64" t="s">
        <v>952</v>
      </c>
      <c r="E177" s="64" t="s">
        <v>4</v>
      </c>
      <c r="F177" s="113" t="s">
        <v>5</v>
      </c>
      <c r="G177" s="113" t="s">
        <v>6</v>
      </c>
      <c r="H177" s="113" t="s">
        <v>7</v>
      </c>
      <c r="I177" s="113" t="s">
        <v>8</v>
      </c>
      <c r="J177" s="113" t="s">
        <v>9</v>
      </c>
      <c r="K177" s="64" t="s">
        <v>662</v>
      </c>
      <c r="L177" s="64" t="s">
        <v>674</v>
      </c>
      <c r="M177" s="64" t="s">
        <v>675</v>
      </c>
      <c r="N177" s="116" t="s">
        <v>879</v>
      </c>
    </row>
    <row r="178" spans="1:14" ht="30" x14ac:dyDescent="0.25">
      <c r="A178" s="6" t="s">
        <v>109</v>
      </c>
      <c r="B178" s="6">
        <v>1</v>
      </c>
      <c r="D178" s="114" t="str">
        <f t="shared" ref="D178:D188" si="44">CONCATENATE("0-",VLOOKUP(CONCATENATE(VLOOKUP(A178,TEAMS,2,FALSE),TEXT(B178,"00")),PLAYERS,$D$1,FALSE),IF(VLOOKUP(CONCATENATE(VLOOKUP(A178,TEAMS,2,FALSE),TEXT(B178,"00")),PLAYERS,$D$1+1,FALSE)="BG"," *",""))</f>
        <v>0-12</v>
      </c>
      <c r="E178" s="115" t="str">
        <f t="shared" ref="E178:E188" si="45">VLOOKUP(CONCATENATE(VLOOKUP(A178,TEAMS,2,FALSE),TEXT($B178,"00")),PLAYERS,E$1,FALSE)</f>
        <v>Old World Human Lineman</v>
      </c>
      <c r="F178" s="113">
        <f t="shared" ref="F178:F188" si="46">VLOOKUP(CONCATENATE(VLOOKUP(A178,TEAMS,2,FALSE),TEXT($B178,"00")),PLAYERS,F$1,FALSE)</f>
        <v>6</v>
      </c>
      <c r="G178" s="113">
        <f t="shared" ref="G178:G188" si="47">VLOOKUP(CONCATENATE(VLOOKUP(A178,TEAMS,2,FALSE),TEXT($B178,"00")),PLAYERS,G$1,FALSE)</f>
        <v>3</v>
      </c>
      <c r="H178" s="113" t="str">
        <f t="shared" ref="H178:H188" si="48">CONCATENATE(VLOOKUP(CONCATENATE(VLOOKUP(A178,TEAMS,2,FALSE),TEXT($B178,"00")),PLAYERS,H$1,FALSE),"+")</f>
        <v>3+</v>
      </c>
      <c r="I178" s="113" t="str">
        <f t="shared" ref="I178:I188" si="49">CONCATENATE(VLOOKUP(CONCATENATE(VLOOKUP(A178,TEAMS,2,FALSE),TEXT($B178,"00")),PLAYERS,I$1,FALSE),IF(VLOOKUP(CONCATENATE(VLOOKUP(A178,TEAMS,2,FALSE),TEXT($B178,"00")),PLAYERS,I$1,FALSE)="-","","+"))</f>
        <v>4+</v>
      </c>
      <c r="J178" s="113" t="str">
        <f t="shared" ref="J178:J188" si="50">CONCATENATE(VLOOKUP(CONCATENATE(VLOOKUP(A178,TEAMS,2,FALSE),TEXT($B178,"00")),PLAYERS,J$1,FALSE),"+")</f>
        <v>9+</v>
      </c>
      <c r="K178" s="115" t="str">
        <f t="shared" ref="K178:K188" si="51">VLOOKUP(CONCATENATE(VLOOKUP(A178,TEAMS,2,FALSE),TEXT($B178,"00")),PLAYERS,K$1,FALSE)</f>
        <v>None</v>
      </c>
      <c r="L178" s="114" t="str">
        <f t="shared" ref="L178:L188" si="52">VLOOKUP(CONCATENATE(VLOOKUP(A178,TEAMS,2,FALSE),TEXT($B178,"00")),PLAYERS,L$1,FALSE)</f>
        <v>G</v>
      </c>
      <c r="M178" s="114" t="str">
        <f t="shared" ref="M178:M188" si="53">VLOOKUP(CONCATENATE(VLOOKUP(A178,TEAMS,2,FALSE),TEXT($B178,"00")),PLAYERS,M$1,FALSE)</f>
        <v>AS</v>
      </c>
      <c r="N178" s="113" t="str">
        <f t="shared" ref="N178:N188" si="54">CONCATENATE(ABS(VLOOKUP(CONCATENATE(VLOOKUP(A178,TEAMS,2,FALSE),TEXT(B178,"00")),PLAYERS,5,FALSE)),"k")</f>
        <v>50k</v>
      </c>
    </row>
    <row r="179" spans="1:14" ht="30" x14ac:dyDescent="0.25">
      <c r="A179" s="6" t="s">
        <v>109</v>
      </c>
      <c r="B179" s="6">
        <v>2</v>
      </c>
      <c r="D179" s="114" t="str">
        <f t="shared" si="44"/>
        <v>0-1</v>
      </c>
      <c r="E179" s="115" t="str">
        <f t="shared" si="45"/>
        <v>Old World Human Thrower</v>
      </c>
      <c r="F179" s="113">
        <f t="shared" si="46"/>
        <v>6</v>
      </c>
      <c r="G179" s="113">
        <f t="shared" si="47"/>
        <v>3</v>
      </c>
      <c r="H179" s="113" t="str">
        <f t="shared" si="48"/>
        <v>3+</v>
      </c>
      <c r="I179" s="113" t="str">
        <f t="shared" si="49"/>
        <v>3+</v>
      </c>
      <c r="J179" s="113" t="str">
        <f t="shared" si="50"/>
        <v>9+</v>
      </c>
      <c r="K179" s="115" t="str">
        <f t="shared" si="51"/>
        <v>Animosity (DW, HA)*, Pass, Sure Hands</v>
      </c>
      <c r="L179" s="114" t="str">
        <f t="shared" si="52"/>
        <v>GP</v>
      </c>
      <c r="M179" s="114" t="str">
        <f t="shared" si="53"/>
        <v>AS</v>
      </c>
      <c r="N179" s="113" t="str">
        <f t="shared" si="54"/>
        <v>80k</v>
      </c>
    </row>
    <row r="180" spans="1:14" ht="30" x14ac:dyDescent="0.25">
      <c r="A180" s="6" t="s">
        <v>109</v>
      </c>
      <c r="B180" s="6">
        <v>3</v>
      </c>
      <c r="D180" s="114" t="str">
        <f t="shared" si="44"/>
        <v>0-1</v>
      </c>
      <c r="E180" s="115" t="str">
        <f t="shared" si="45"/>
        <v>Old World Human Catcher</v>
      </c>
      <c r="F180" s="113">
        <f t="shared" si="46"/>
        <v>8</v>
      </c>
      <c r="G180" s="113">
        <f t="shared" si="47"/>
        <v>2</v>
      </c>
      <c r="H180" s="113" t="str">
        <f t="shared" si="48"/>
        <v>3+</v>
      </c>
      <c r="I180" s="113" t="str">
        <f t="shared" si="49"/>
        <v>5+</v>
      </c>
      <c r="J180" s="113" t="str">
        <f t="shared" si="50"/>
        <v>8+</v>
      </c>
      <c r="K180" s="115" t="str">
        <f t="shared" si="51"/>
        <v>Animosity (DW, HA)*, Catch, Dodge</v>
      </c>
      <c r="L180" s="114" t="str">
        <f t="shared" si="52"/>
        <v>AG</v>
      </c>
      <c r="M180" s="114" t="str">
        <f t="shared" si="53"/>
        <v>S</v>
      </c>
      <c r="N180" s="113" t="str">
        <f t="shared" si="54"/>
        <v>65k</v>
      </c>
    </row>
    <row r="181" spans="1:14" ht="15.75" customHeight="1" x14ac:dyDescent="0.25">
      <c r="A181" s="6" t="s">
        <v>109</v>
      </c>
      <c r="B181" s="6">
        <v>4</v>
      </c>
      <c r="D181" s="114" t="str">
        <f t="shared" si="44"/>
        <v>0-1</v>
      </c>
      <c r="E181" s="115" t="str">
        <f t="shared" si="45"/>
        <v>Old World Human Blitzer</v>
      </c>
      <c r="F181" s="113">
        <f t="shared" si="46"/>
        <v>7</v>
      </c>
      <c r="G181" s="113">
        <f t="shared" si="47"/>
        <v>3</v>
      </c>
      <c r="H181" s="113" t="str">
        <f t="shared" si="48"/>
        <v>3+</v>
      </c>
      <c r="I181" s="113" t="str">
        <f t="shared" si="49"/>
        <v>4+</v>
      </c>
      <c r="J181" s="113" t="str">
        <f t="shared" si="50"/>
        <v>9+</v>
      </c>
      <c r="K181" s="115" t="str">
        <f t="shared" si="51"/>
        <v>Animosity (DW, HA)*, Block</v>
      </c>
      <c r="L181" s="114" t="str">
        <f t="shared" si="52"/>
        <v>GS</v>
      </c>
      <c r="M181" s="114" t="str">
        <f t="shared" si="53"/>
        <v>A</v>
      </c>
      <c r="N181" s="113" t="str">
        <f t="shared" si="54"/>
        <v>90k</v>
      </c>
    </row>
    <row r="182" spans="1:14" ht="30" x14ac:dyDescent="0.25">
      <c r="A182" s="6" t="s">
        <v>109</v>
      </c>
      <c r="B182" s="6">
        <v>5</v>
      </c>
      <c r="D182" s="114" t="str">
        <f t="shared" si="44"/>
        <v>0-2</v>
      </c>
      <c r="E182" s="115" t="str">
        <f t="shared" si="45"/>
        <v>Old World Dwarf Blocker</v>
      </c>
      <c r="F182" s="113">
        <f t="shared" si="46"/>
        <v>4</v>
      </c>
      <c r="G182" s="113">
        <f t="shared" si="47"/>
        <v>3</v>
      </c>
      <c r="H182" s="113" t="str">
        <f t="shared" si="48"/>
        <v>4+</v>
      </c>
      <c r="I182" s="113" t="str">
        <f t="shared" si="49"/>
        <v>5+</v>
      </c>
      <c r="J182" s="113" t="str">
        <f t="shared" si="50"/>
        <v>10+</v>
      </c>
      <c r="K182" s="115" t="str">
        <f t="shared" si="51"/>
        <v>Arm Bar, Brawler, Loner (3+)*, Thick Skull</v>
      </c>
      <c r="L182" s="114" t="str">
        <f t="shared" si="52"/>
        <v>GS</v>
      </c>
      <c r="M182" s="114" t="str">
        <f t="shared" si="53"/>
        <v>A</v>
      </c>
      <c r="N182" s="113" t="str">
        <f t="shared" si="54"/>
        <v>75k</v>
      </c>
    </row>
    <row r="183" spans="1:14" ht="30" x14ac:dyDescent="0.25">
      <c r="A183" s="6" t="s">
        <v>109</v>
      </c>
      <c r="B183" s="6">
        <v>6</v>
      </c>
      <c r="D183" s="114" t="str">
        <f t="shared" si="44"/>
        <v>0-1</v>
      </c>
      <c r="E183" s="115" t="str">
        <f t="shared" si="45"/>
        <v>Old World Dwarf Runner</v>
      </c>
      <c r="F183" s="113">
        <f t="shared" si="46"/>
        <v>6</v>
      </c>
      <c r="G183" s="113">
        <f t="shared" si="47"/>
        <v>3</v>
      </c>
      <c r="H183" s="113" t="str">
        <f t="shared" si="48"/>
        <v>3+</v>
      </c>
      <c r="I183" s="113" t="str">
        <f t="shared" si="49"/>
        <v>4+</v>
      </c>
      <c r="J183" s="113" t="str">
        <f t="shared" si="50"/>
        <v>9+</v>
      </c>
      <c r="K183" s="115" t="str">
        <f t="shared" si="51"/>
        <v>Loner (3+)*, Sure Hands, Thick Skull</v>
      </c>
      <c r="L183" s="114" t="str">
        <f t="shared" si="52"/>
        <v>GP</v>
      </c>
      <c r="M183" s="114" t="str">
        <f t="shared" si="53"/>
        <v>AS</v>
      </c>
      <c r="N183" s="113" t="str">
        <f t="shared" si="54"/>
        <v>85k</v>
      </c>
    </row>
    <row r="184" spans="1:14" x14ac:dyDescent="0.25">
      <c r="A184" s="6" t="s">
        <v>109</v>
      </c>
      <c r="B184" s="6">
        <v>7</v>
      </c>
      <c r="D184" s="114" t="str">
        <f t="shared" si="44"/>
        <v>0-1</v>
      </c>
      <c r="E184" s="115" t="str">
        <f t="shared" si="45"/>
        <v>Old World Dwarf Blitzer</v>
      </c>
      <c r="F184" s="113">
        <f t="shared" si="46"/>
        <v>5</v>
      </c>
      <c r="G184" s="113">
        <f t="shared" si="47"/>
        <v>3</v>
      </c>
      <c r="H184" s="113" t="str">
        <f t="shared" si="48"/>
        <v>3+</v>
      </c>
      <c r="I184" s="113" t="str">
        <f t="shared" si="49"/>
        <v>4+</v>
      </c>
      <c r="J184" s="113" t="str">
        <f t="shared" si="50"/>
        <v>10+</v>
      </c>
      <c r="K184" s="115" t="str">
        <f t="shared" si="51"/>
        <v>Block, Loner (3+)*, Thick Skull</v>
      </c>
      <c r="L184" s="114" t="str">
        <f t="shared" si="52"/>
        <v>GS</v>
      </c>
      <c r="M184" s="114" t="str">
        <f t="shared" si="53"/>
        <v>A</v>
      </c>
      <c r="N184" s="113" t="str">
        <f t="shared" si="54"/>
        <v>80k</v>
      </c>
    </row>
    <row r="185" spans="1:14" ht="30" x14ac:dyDescent="0.25">
      <c r="A185" s="6" t="s">
        <v>109</v>
      </c>
      <c r="B185" s="6">
        <v>8</v>
      </c>
      <c r="D185" s="114" t="str">
        <f t="shared" si="44"/>
        <v>0-1</v>
      </c>
      <c r="E185" s="115" t="str">
        <f t="shared" si="45"/>
        <v>Old World Dwarf Troll Slayer</v>
      </c>
      <c r="F185" s="113">
        <f t="shared" si="46"/>
        <v>5</v>
      </c>
      <c r="G185" s="113">
        <f t="shared" si="47"/>
        <v>3</v>
      </c>
      <c r="H185" s="113" t="str">
        <f t="shared" si="48"/>
        <v>4+</v>
      </c>
      <c r="I185" s="113" t="str">
        <f t="shared" si="49"/>
        <v>-</v>
      </c>
      <c r="J185" s="113" t="str">
        <f t="shared" si="50"/>
        <v>9+</v>
      </c>
      <c r="K185" s="115" t="str">
        <f t="shared" si="51"/>
        <v>Block, Dauntless, Frenzy*, Loner (3+)*, Thick Skull</v>
      </c>
      <c r="L185" s="114" t="str">
        <f t="shared" si="52"/>
        <v>GS</v>
      </c>
      <c r="M185" s="114" t="str">
        <f t="shared" si="53"/>
        <v>A</v>
      </c>
      <c r="N185" s="113" t="str">
        <f t="shared" si="54"/>
        <v>95k</v>
      </c>
    </row>
    <row r="186" spans="1:14" ht="30" x14ac:dyDescent="0.25">
      <c r="A186" s="6" t="s">
        <v>109</v>
      </c>
      <c r="B186" s="6">
        <v>9</v>
      </c>
      <c r="D186" s="114" t="str">
        <f t="shared" si="44"/>
        <v>0-2</v>
      </c>
      <c r="E186" s="115" t="str">
        <f t="shared" si="45"/>
        <v>Old World Halfling Hopeful</v>
      </c>
      <c r="F186" s="113">
        <f t="shared" si="46"/>
        <v>5</v>
      </c>
      <c r="G186" s="113">
        <f t="shared" si="47"/>
        <v>2</v>
      </c>
      <c r="H186" s="113" t="str">
        <f t="shared" si="48"/>
        <v>3+</v>
      </c>
      <c r="I186" s="113" t="str">
        <f t="shared" si="49"/>
        <v>4+</v>
      </c>
      <c r="J186" s="113" t="str">
        <f t="shared" si="50"/>
        <v>7+</v>
      </c>
      <c r="K186" s="115" t="str">
        <f t="shared" si="51"/>
        <v>Animosity (DW, HU)*, Dodge, Right Stuff*, Stunty*</v>
      </c>
      <c r="L186" s="114" t="str">
        <f t="shared" si="52"/>
        <v>A</v>
      </c>
      <c r="M186" s="114" t="str">
        <f t="shared" si="53"/>
        <v>GS</v>
      </c>
      <c r="N186" s="113" t="str">
        <f t="shared" si="54"/>
        <v>30k</v>
      </c>
    </row>
    <row r="187" spans="1:14" ht="30" x14ac:dyDescent="0.25">
      <c r="A187" s="6" t="s">
        <v>109</v>
      </c>
      <c r="B187" s="6">
        <v>10</v>
      </c>
      <c r="D187" s="114" t="str">
        <f t="shared" si="44"/>
        <v>0-1 *</v>
      </c>
      <c r="E187" s="115" t="str">
        <f t="shared" si="45"/>
        <v>Old World Ogre</v>
      </c>
      <c r="F187" s="113">
        <f t="shared" si="46"/>
        <v>5</v>
      </c>
      <c r="G187" s="113">
        <f t="shared" si="47"/>
        <v>5</v>
      </c>
      <c r="H187" s="113" t="str">
        <f t="shared" si="48"/>
        <v>4+</v>
      </c>
      <c r="I187" s="113" t="str">
        <f t="shared" si="49"/>
        <v>5+</v>
      </c>
      <c r="J187" s="113" t="str">
        <f t="shared" si="50"/>
        <v>10+</v>
      </c>
      <c r="K187" s="115" t="str">
        <f t="shared" si="51"/>
        <v>Bone Head*, Loner (4+)*, Mighty Blow (+1), Thick Skull, Throw Team-mate</v>
      </c>
      <c r="L187" s="114" t="str">
        <f t="shared" si="52"/>
        <v>S</v>
      </c>
      <c r="M187" s="114" t="str">
        <f t="shared" si="53"/>
        <v>AG</v>
      </c>
      <c r="N187" s="113" t="str">
        <f t="shared" si="54"/>
        <v>140k</v>
      </c>
    </row>
    <row r="188" spans="1:14" ht="45" x14ac:dyDescent="0.25">
      <c r="A188" s="6" t="s">
        <v>109</v>
      </c>
      <c r="B188" s="6">
        <v>11</v>
      </c>
      <c r="D188" s="114" t="str">
        <f t="shared" si="44"/>
        <v>0-1 *</v>
      </c>
      <c r="E188" s="115" t="str">
        <f t="shared" si="45"/>
        <v>Altern Forest Treeman °</v>
      </c>
      <c r="F188" s="113">
        <f t="shared" si="46"/>
        <v>2</v>
      </c>
      <c r="G188" s="113">
        <f t="shared" si="47"/>
        <v>6</v>
      </c>
      <c r="H188" s="113" t="str">
        <f t="shared" si="48"/>
        <v>5+</v>
      </c>
      <c r="I188" s="113" t="str">
        <f t="shared" si="49"/>
        <v>5+</v>
      </c>
      <c r="J188" s="113" t="str">
        <f t="shared" si="50"/>
        <v>11+</v>
      </c>
      <c r="K188" s="115" t="str">
        <f t="shared" si="51"/>
        <v>Loner (4+)*, Mighty Blow (+1), Stand Firm, Strong Arm, Take Root*, Thick Skull, Throw Team-mate, Timmm-ber!</v>
      </c>
      <c r="L188" s="114" t="str">
        <f t="shared" si="52"/>
        <v>S</v>
      </c>
      <c r="M188" s="114" t="str">
        <f t="shared" si="53"/>
        <v>AGP</v>
      </c>
      <c r="N188" s="113" t="str">
        <f t="shared" si="54"/>
        <v>120k</v>
      </c>
    </row>
    <row r="189" spans="1:14" x14ac:dyDescent="0.25">
      <c r="D189" s="64" t="s">
        <v>676</v>
      </c>
      <c r="E189" s="64" t="str">
        <f>CONCATENATE(VLOOKUP(A176,TEAMS,5,FALSE),"k")</f>
        <v>70k</v>
      </c>
      <c r="F189" s="466" t="s">
        <v>680</v>
      </c>
      <c r="G189" s="471"/>
      <c r="H189" s="471"/>
      <c r="I189" s="467"/>
      <c r="J189" s="113" t="str">
        <f>VLOOKUP(A176,TEAMS,6,FALSE)</f>
        <v>Yes</v>
      </c>
      <c r="K189" s="468" t="s">
        <v>681</v>
      </c>
      <c r="L189" s="469"/>
      <c r="M189" s="470"/>
      <c r="N189" s="116">
        <f>VLOOKUP(A176,TEAMS,8,FALSE)</f>
        <v>4</v>
      </c>
    </row>
    <row r="190" spans="1:14" ht="15" customHeight="1" x14ac:dyDescent="0.25">
      <c r="D190" s="466" t="s">
        <v>682</v>
      </c>
      <c r="E190" s="467"/>
      <c r="F190" s="462" t="str">
        <f>IFERROR(VLOOKUP(LEFT(VLOOKUP(A184,TEAMS,7,FALSE),3),SpecialRules,3,FALSE) &amp; VLOOKUP(MID(VLOOKUP(A184,TEAMS,7,FALSE),4,3),SpecialRules,3,FALSE),"")</f>
        <v/>
      </c>
      <c r="G190" s="462"/>
      <c r="H190" s="462"/>
      <c r="I190" s="462"/>
      <c r="J190" s="462"/>
      <c r="K190" s="462"/>
      <c r="L190" s="462"/>
      <c r="M190" s="462"/>
      <c r="N190" s="462"/>
    </row>
    <row r="191" spans="1:14" x14ac:dyDescent="0.25">
      <c r="D191" s="465" t="s">
        <v>684</v>
      </c>
      <c r="E191" s="465"/>
      <c r="F191" s="465"/>
      <c r="G191" s="465"/>
      <c r="H191" s="465"/>
      <c r="I191" s="465"/>
      <c r="J191" s="465"/>
      <c r="K191" s="465"/>
      <c r="L191" s="465"/>
      <c r="M191" s="465"/>
      <c r="N191" s="465"/>
    </row>
    <row r="192" spans="1:14" x14ac:dyDescent="0.25">
      <c r="D192" s="475"/>
      <c r="E192" s="475"/>
      <c r="F192" s="475"/>
      <c r="G192" s="475"/>
      <c r="H192" s="475"/>
      <c r="I192" s="475"/>
      <c r="J192" s="475"/>
      <c r="K192" s="475"/>
      <c r="L192" s="475"/>
      <c r="M192" s="475"/>
      <c r="N192" s="475"/>
    </row>
    <row r="193" spans="1:14" ht="21" x14ac:dyDescent="0.35">
      <c r="A193" s="6" t="s">
        <v>110</v>
      </c>
      <c r="B193" s="6">
        <v>6</v>
      </c>
      <c r="D193" s="459" t="str">
        <f>A193</f>
        <v>Orc</v>
      </c>
      <c r="E193" s="459"/>
      <c r="F193" s="459"/>
      <c r="G193" s="459"/>
      <c r="H193" s="459"/>
      <c r="I193" s="459"/>
      <c r="J193" s="459"/>
      <c r="K193" s="459"/>
      <c r="L193" s="459"/>
      <c r="M193" s="459"/>
      <c r="N193" s="459"/>
    </row>
    <row r="194" spans="1:14" x14ac:dyDescent="0.25">
      <c r="A194" s="6" t="s">
        <v>110</v>
      </c>
      <c r="D194" s="64" t="s">
        <v>952</v>
      </c>
      <c r="E194" s="64" t="s">
        <v>4</v>
      </c>
      <c r="F194" s="113" t="s">
        <v>5</v>
      </c>
      <c r="G194" s="113" t="s">
        <v>6</v>
      </c>
      <c r="H194" s="113" t="s">
        <v>7</v>
      </c>
      <c r="I194" s="113" t="s">
        <v>8</v>
      </c>
      <c r="J194" s="113" t="s">
        <v>9</v>
      </c>
      <c r="K194" s="64" t="s">
        <v>662</v>
      </c>
      <c r="L194" s="64" t="s">
        <v>674</v>
      </c>
      <c r="M194" s="64" t="s">
        <v>675</v>
      </c>
      <c r="N194" s="116" t="s">
        <v>879</v>
      </c>
    </row>
    <row r="195" spans="1:14" x14ac:dyDescent="0.25">
      <c r="A195" s="6" t="s">
        <v>110</v>
      </c>
      <c r="B195" s="6">
        <v>1</v>
      </c>
      <c r="D195" s="114" t="str">
        <f t="shared" ref="D195:D200" si="55">CONCATENATE("0-",VLOOKUP(CONCATENATE(VLOOKUP(A195,TEAMS,2,FALSE),TEXT(B195,"00")),PLAYERS,$D$1,FALSE),IF(VLOOKUP(CONCATENATE(VLOOKUP(A195,TEAMS,2,FALSE),TEXT(B195,"00")),PLAYERS,$D$1+1,FALSE)="BG"," *",""))</f>
        <v>0-16</v>
      </c>
      <c r="E195" s="115" t="str">
        <f t="shared" ref="E195:E200" si="56">VLOOKUP(CONCATENATE(VLOOKUP(A195,TEAMS,2,FALSE),TEXT($B195,"00")),PLAYERS,E$1,FALSE)</f>
        <v>Orc Lineman</v>
      </c>
      <c r="F195" s="113">
        <f t="shared" ref="F195:F200" si="57">VLOOKUP(CONCATENATE(VLOOKUP(A195,TEAMS,2,FALSE),TEXT($B195,"00")),PLAYERS,F$1,FALSE)</f>
        <v>5</v>
      </c>
      <c r="G195" s="113">
        <f t="shared" ref="G195:G200" si="58">VLOOKUP(CONCATENATE(VLOOKUP(A195,TEAMS,2,FALSE),TEXT($B195,"00")),PLAYERS,G$1,FALSE)</f>
        <v>3</v>
      </c>
      <c r="H195" s="113" t="str">
        <f t="shared" ref="H195:H200" si="59">CONCATENATE(VLOOKUP(CONCATENATE(VLOOKUP(A195,TEAMS,2,FALSE),TEXT($B195,"00")),PLAYERS,H$1,FALSE),"+")</f>
        <v>3+</v>
      </c>
      <c r="I195" s="113" t="str">
        <f t="shared" ref="I195:I200" si="60">CONCATENATE(VLOOKUP(CONCATENATE(VLOOKUP(A195,TEAMS,2,FALSE),TEXT($B195,"00")),PLAYERS,I$1,FALSE),IF(VLOOKUP(CONCATENATE(VLOOKUP(A195,TEAMS,2,FALSE),TEXT($B195,"00")),PLAYERS,I$1,FALSE)="-","","+"))</f>
        <v>4+</v>
      </c>
      <c r="J195" s="113" t="str">
        <f t="shared" ref="J195:J200" si="61">CONCATENATE(VLOOKUP(CONCATENATE(VLOOKUP(A195,TEAMS,2,FALSE),TEXT($B195,"00")),PLAYERS,J$1,FALSE),"+")</f>
        <v>10+</v>
      </c>
      <c r="K195" s="115" t="str">
        <f t="shared" ref="K195:K200" si="62">VLOOKUP(CONCATENATE(VLOOKUP(A195,TEAMS,2,FALSE),TEXT($B195,"00")),PLAYERS,K$1,FALSE)</f>
        <v>Animosity (LM)*</v>
      </c>
      <c r="L195" s="114" t="str">
        <f t="shared" ref="L195:L200" si="63">VLOOKUP(CONCATENATE(VLOOKUP(A195,TEAMS,2,FALSE),TEXT($B195,"00")),PLAYERS,L$1,FALSE)</f>
        <v>G</v>
      </c>
      <c r="M195" s="114" t="str">
        <f t="shared" ref="M195:M200" si="64">VLOOKUP(CONCATENATE(VLOOKUP(A195,TEAMS,2,FALSE),TEXT($B195,"00")),PLAYERS,M$1,FALSE)</f>
        <v>AS</v>
      </c>
      <c r="N195" s="113" t="str">
        <f t="shared" ref="N195:N200" si="65">CONCATENATE(ABS(VLOOKUP(CONCATENATE(VLOOKUP(A195,TEAMS,2,FALSE),TEXT(B195,"00")),PLAYERS,5,FALSE)),"k")</f>
        <v>50k</v>
      </c>
    </row>
    <row r="196" spans="1:14" x14ac:dyDescent="0.25">
      <c r="A196" s="6" t="s">
        <v>110</v>
      </c>
      <c r="B196" s="6">
        <v>2</v>
      </c>
      <c r="D196" s="114" t="str">
        <f t="shared" si="55"/>
        <v>0-2</v>
      </c>
      <c r="E196" s="115" t="str">
        <f t="shared" si="56"/>
        <v>Orc Thrower</v>
      </c>
      <c r="F196" s="113">
        <f t="shared" si="57"/>
        <v>5</v>
      </c>
      <c r="G196" s="113">
        <f t="shared" si="58"/>
        <v>3</v>
      </c>
      <c r="H196" s="113" t="str">
        <f t="shared" si="59"/>
        <v>3+</v>
      </c>
      <c r="I196" s="113" t="str">
        <f t="shared" si="60"/>
        <v>3+</v>
      </c>
      <c r="J196" s="113" t="str">
        <f t="shared" si="61"/>
        <v>9+</v>
      </c>
      <c r="K196" s="115" t="str">
        <f t="shared" si="62"/>
        <v>Animosity (all)*, Pass, Sure Hands</v>
      </c>
      <c r="L196" s="114" t="str">
        <f t="shared" si="63"/>
        <v>GP</v>
      </c>
      <c r="M196" s="114" t="str">
        <f t="shared" si="64"/>
        <v>AS</v>
      </c>
      <c r="N196" s="113" t="str">
        <f t="shared" si="65"/>
        <v>65k</v>
      </c>
    </row>
    <row r="197" spans="1:14" x14ac:dyDescent="0.25">
      <c r="A197" s="6" t="s">
        <v>110</v>
      </c>
      <c r="B197" s="6">
        <v>3</v>
      </c>
      <c r="D197" s="114" t="str">
        <f t="shared" si="55"/>
        <v>0-4</v>
      </c>
      <c r="E197" s="115" t="str">
        <f t="shared" si="56"/>
        <v>Orc Blitzer</v>
      </c>
      <c r="F197" s="113">
        <f t="shared" si="57"/>
        <v>6</v>
      </c>
      <c r="G197" s="113">
        <f t="shared" si="58"/>
        <v>3</v>
      </c>
      <c r="H197" s="113" t="str">
        <f t="shared" si="59"/>
        <v>3+</v>
      </c>
      <c r="I197" s="113" t="str">
        <f t="shared" si="60"/>
        <v>4+</v>
      </c>
      <c r="J197" s="113" t="str">
        <f t="shared" si="61"/>
        <v>10+</v>
      </c>
      <c r="K197" s="115" t="str">
        <f t="shared" si="62"/>
        <v>Animosity (all)*, Block</v>
      </c>
      <c r="L197" s="114" t="str">
        <f t="shared" si="63"/>
        <v>GS</v>
      </c>
      <c r="M197" s="114" t="str">
        <f t="shared" si="64"/>
        <v>AP</v>
      </c>
      <c r="N197" s="113" t="str">
        <f t="shared" si="65"/>
        <v>80k</v>
      </c>
    </row>
    <row r="198" spans="1:14" x14ac:dyDescent="0.25">
      <c r="A198" s="6" t="s">
        <v>110</v>
      </c>
      <c r="B198" s="6">
        <v>4</v>
      </c>
      <c r="D198" s="114" t="str">
        <f t="shared" si="55"/>
        <v>0-4</v>
      </c>
      <c r="E198" s="115" t="str">
        <f t="shared" si="56"/>
        <v>Big Un Blocker</v>
      </c>
      <c r="F198" s="113">
        <f t="shared" si="57"/>
        <v>5</v>
      </c>
      <c r="G198" s="113">
        <f t="shared" si="58"/>
        <v>4</v>
      </c>
      <c r="H198" s="113" t="str">
        <f t="shared" si="59"/>
        <v>4+</v>
      </c>
      <c r="I198" s="113" t="str">
        <f t="shared" si="60"/>
        <v>-</v>
      </c>
      <c r="J198" s="113" t="str">
        <f t="shared" si="61"/>
        <v>10+</v>
      </c>
      <c r="K198" s="115" t="str">
        <f t="shared" si="62"/>
        <v>Animosity (BU)*</v>
      </c>
      <c r="L198" s="114" t="str">
        <f t="shared" si="63"/>
        <v>GS</v>
      </c>
      <c r="M198" s="114" t="str">
        <f t="shared" si="64"/>
        <v>A</v>
      </c>
      <c r="N198" s="113" t="str">
        <f t="shared" si="65"/>
        <v>90k</v>
      </c>
    </row>
    <row r="199" spans="1:14" x14ac:dyDescent="0.25">
      <c r="A199" s="6" t="s">
        <v>110</v>
      </c>
      <c r="B199" s="6">
        <v>5</v>
      </c>
      <c r="D199" s="114" t="str">
        <f t="shared" si="55"/>
        <v>0-4</v>
      </c>
      <c r="E199" s="115" t="str">
        <f t="shared" si="56"/>
        <v>Goblin</v>
      </c>
      <c r="F199" s="113">
        <f t="shared" si="57"/>
        <v>6</v>
      </c>
      <c r="G199" s="113">
        <f t="shared" si="58"/>
        <v>2</v>
      </c>
      <c r="H199" s="113" t="str">
        <f t="shared" si="59"/>
        <v>3+</v>
      </c>
      <c r="I199" s="113" t="str">
        <f t="shared" si="60"/>
        <v>4+</v>
      </c>
      <c r="J199" s="113" t="str">
        <f t="shared" si="61"/>
        <v>8+</v>
      </c>
      <c r="K199" s="115" t="str">
        <f t="shared" si="62"/>
        <v>Dodge, Right Stuff*, Stunty*</v>
      </c>
      <c r="L199" s="114" t="str">
        <f t="shared" si="63"/>
        <v>A</v>
      </c>
      <c r="M199" s="114" t="str">
        <f t="shared" si="64"/>
        <v>GS</v>
      </c>
      <c r="N199" s="113" t="str">
        <f t="shared" si="65"/>
        <v>40k</v>
      </c>
    </row>
    <row r="200" spans="1:14" ht="45" x14ac:dyDescent="0.25">
      <c r="A200" s="6" t="s">
        <v>110</v>
      </c>
      <c r="B200" s="6">
        <v>6</v>
      </c>
      <c r="D200" s="114" t="str">
        <f t="shared" si="55"/>
        <v>0-1</v>
      </c>
      <c r="E200" s="115" t="str">
        <f t="shared" si="56"/>
        <v>Untrained Troll</v>
      </c>
      <c r="F200" s="113">
        <f t="shared" si="57"/>
        <v>4</v>
      </c>
      <c r="G200" s="113">
        <f t="shared" si="58"/>
        <v>5</v>
      </c>
      <c r="H200" s="113" t="str">
        <f t="shared" si="59"/>
        <v>5+</v>
      </c>
      <c r="I200" s="113" t="str">
        <f t="shared" si="60"/>
        <v>5+</v>
      </c>
      <c r="J200" s="113" t="str">
        <f t="shared" si="61"/>
        <v>10+</v>
      </c>
      <c r="K200" s="115" t="str">
        <f t="shared" si="62"/>
        <v>Always Hungry*, Loner (4+)*, Mighty Blow (+1), Projectile Vomit, Really Stupid*, Regeneration, Throw Team-mate</v>
      </c>
      <c r="L200" s="114" t="str">
        <f t="shared" si="63"/>
        <v>S</v>
      </c>
      <c r="M200" s="114" t="str">
        <f t="shared" si="64"/>
        <v>AGP</v>
      </c>
      <c r="N200" s="113" t="str">
        <f t="shared" si="65"/>
        <v>115k</v>
      </c>
    </row>
    <row r="201" spans="1:14" x14ac:dyDescent="0.25">
      <c r="D201" s="64" t="s">
        <v>676</v>
      </c>
      <c r="E201" s="64" t="str">
        <f>CONCATENATE(VLOOKUP(A193,TEAMS,5,FALSE),"k")</f>
        <v>60k</v>
      </c>
      <c r="F201" s="466" t="s">
        <v>680</v>
      </c>
      <c r="G201" s="471"/>
      <c r="H201" s="471"/>
      <c r="I201" s="467"/>
      <c r="J201" s="113" t="str">
        <f>VLOOKUP(A193,TEAMS,6,FALSE)</f>
        <v>Yes</v>
      </c>
      <c r="K201" s="468" t="s">
        <v>681</v>
      </c>
      <c r="L201" s="469"/>
      <c r="M201" s="470"/>
      <c r="N201" s="116">
        <f>VLOOKUP(A193,TEAMS,8,FALSE)</f>
        <v>1</v>
      </c>
    </row>
    <row r="202" spans="1:14" ht="15" customHeight="1" x14ac:dyDescent="0.25">
      <c r="D202" s="466" t="s">
        <v>682</v>
      </c>
      <c r="E202" s="467"/>
      <c r="F202" s="462" t="str">
        <f>IFERROR(VLOOKUP(LEFT(VLOOKUP(A196,TEAMS,7,FALSE),3),SpecialRules,3,FALSE) &amp; VLOOKUP(MID(VLOOKUP(A196,TEAMS,7,FALSE),4,3),SpecialRules,3,FALSE),"")</f>
        <v/>
      </c>
      <c r="G202" s="462"/>
      <c r="H202" s="462"/>
      <c r="I202" s="462"/>
      <c r="J202" s="462"/>
      <c r="K202" s="462"/>
      <c r="L202" s="462"/>
      <c r="M202" s="462"/>
      <c r="N202" s="462"/>
    </row>
    <row r="203" spans="1:14" x14ac:dyDescent="0.25">
      <c r="D203" s="465"/>
      <c r="E203" s="465"/>
      <c r="F203" s="465"/>
      <c r="G203" s="465"/>
      <c r="H203" s="465"/>
      <c r="I203" s="465"/>
      <c r="J203" s="465"/>
      <c r="K203" s="465"/>
      <c r="L203" s="465"/>
      <c r="M203" s="465"/>
      <c r="N203" s="465"/>
    </row>
    <row r="204" spans="1:14" ht="21" x14ac:dyDescent="0.35">
      <c r="A204" s="6" t="s">
        <v>113</v>
      </c>
      <c r="B204" s="6">
        <v>5</v>
      </c>
      <c r="D204" s="459" t="str">
        <f>A204</f>
        <v>Shambling Undead</v>
      </c>
      <c r="E204" s="459"/>
      <c r="F204" s="459"/>
      <c r="G204" s="459"/>
      <c r="H204" s="459"/>
      <c r="I204" s="459"/>
      <c r="J204" s="459"/>
      <c r="K204" s="459"/>
      <c r="L204" s="459"/>
      <c r="M204" s="459"/>
      <c r="N204" s="459"/>
    </row>
    <row r="205" spans="1:14" x14ac:dyDescent="0.25">
      <c r="A205" s="6" t="s">
        <v>113</v>
      </c>
      <c r="D205" s="64" t="s">
        <v>952</v>
      </c>
      <c r="E205" s="64" t="s">
        <v>4</v>
      </c>
      <c r="F205" s="113" t="s">
        <v>5</v>
      </c>
      <c r="G205" s="113" t="s">
        <v>6</v>
      </c>
      <c r="H205" s="113" t="s">
        <v>7</v>
      </c>
      <c r="I205" s="113" t="s">
        <v>8</v>
      </c>
      <c r="J205" s="113" t="s">
        <v>9</v>
      </c>
      <c r="K205" s="64" t="s">
        <v>662</v>
      </c>
      <c r="L205" s="64" t="s">
        <v>674</v>
      </c>
      <c r="M205" s="64" t="s">
        <v>675</v>
      </c>
      <c r="N205" s="116" t="s">
        <v>879</v>
      </c>
    </row>
    <row r="206" spans="1:14" x14ac:dyDescent="0.25">
      <c r="A206" s="6" t="s">
        <v>113</v>
      </c>
      <c r="B206" s="6">
        <v>1</v>
      </c>
      <c r="D206" s="114" t="str">
        <f>CONCATENATE("0-",VLOOKUP(CONCATENATE(VLOOKUP(A206,TEAMS,2,FALSE),TEXT(B206,"00")),PLAYERS,$D$1,FALSE),IF(VLOOKUP(CONCATENATE(VLOOKUP(A206,TEAMS,2,FALSE),TEXT(B206,"00")),PLAYERS,$D$1+1,FALSE)="BG"," *",""))</f>
        <v>0-12</v>
      </c>
      <c r="E206" s="115" t="str">
        <f>VLOOKUP(CONCATENATE(VLOOKUP(A206,TEAMS,2,FALSE),TEXT($B206,"00")),PLAYERS,E$1,FALSE)</f>
        <v>Skeleton Lineman</v>
      </c>
      <c r="F206" s="113">
        <f>VLOOKUP(CONCATENATE(VLOOKUP(A206,TEAMS,2,FALSE),TEXT($B206,"00")),PLAYERS,F$1,FALSE)</f>
        <v>5</v>
      </c>
      <c r="G206" s="113">
        <f>VLOOKUP(CONCATENATE(VLOOKUP(A206,TEAMS,2,FALSE),TEXT($B206,"00")),PLAYERS,G$1,FALSE)</f>
        <v>3</v>
      </c>
      <c r="H206" s="113" t="str">
        <f>CONCATENATE(VLOOKUP(CONCATENATE(VLOOKUP(A206,TEAMS,2,FALSE),TEXT($B206,"00")),PLAYERS,H$1,FALSE),"+")</f>
        <v>4+</v>
      </c>
      <c r="I206" s="113" t="str">
        <f>CONCATENATE(VLOOKUP(CONCATENATE(VLOOKUP(A206,TEAMS,2,FALSE),TEXT($B206,"00")),PLAYERS,I$1,FALSE),IF(VLOOKUP(CONCATENATE(VLOOKUP(A206,TEAMS,2,FALSE),TEXT($B206,"00")),PLAYERS,I$1,FALSE)="-","","+"))</f>
        <v>6+</v>
      </c>
      <c r="J206" s="113" t="str">
        <f>CONCATENATE(VLOOKUP(CONCATENATE(VLOOKUP(A206,TEAMS,2,FALSE),TEXT($B206,"00")),PLAYERS,J$1,FALSE),"+")</f>
        <v>8+</v>
      </c>
      <c r="K206" s="115" t="str">
        <f>VLOOKUP(CONCATENATE(VLOOKUP(A206,TEAMS,2,FALSE),TEXT($B206,"00")),PLAYERS,K$1,FALSE)</f>
        <v>Regeneration, Thick Skull</v>
      </c>
      <c r="L206" s="114" t="str">
        <f>VLOOKUP(CONCATENATE(VLOOKUP(A206,TEAMS,2,FALSE),TEXT($B206,"00")),PLAYERS,L$1,FALSE)</f>
        <v>G</v>
      </c>
      <c r="M206" s="114" t="str">
        <f>VLOOKUP(CONCATENATE(VLOOKUP(A206,TEAMS,2,FALSE),TEXT($B206,"00")),PLAYERS,M$1,FALSE)</f>
        <v>AS</v>
      </c>
      <c r="N206" s="113" t="str">
        <f>CONCATENATE(ABS(VLOOKUP(CONCATENATE(VLOOKUP(A206,TEAMS,2,FALSE),TEXT(B206,"00")),PLAYERS,5,FALSE)),"k")</f>
        <v>40k</v>
      </c>
    </row>
    <row r="207" spans="1:14" x14ac:dyDescent="0.25">
      <c r="A207" s="6" t="s">
        <v>113</v>
      </c>
      <c r="B207" s="6">
        <v>2</v>
      </c>
      <c r="D207" s="114" t="str">
        <f>CONCATENATE("0-",VLOOKUP(CONCATENATE(VLOOKUP(A207,TEAMS,2,FALSE),TEXT(B207,"00")),PLAYERS,$D$1,FALSE),IF(VLOOKUP(CONCATENATE(VLOOKUP(A207,TEAMS,2,FALSE),TEXT(B207,"00")),PLAYERS,$D$1+1,FALSE)="BG"," *",""))</f>
        <v>0-12</v>
      </c>
      <c r="E207" s="115" t="str">
        <f>VLOOKUP(CONCATENATE(VLOOKUP(A207,TEAMS,2,FALSE),TEXT($B207,"00")),PLAYERS,E$1,FALSE)</f>
        <v>Zombie Lineman</v>
      </c>
      <c r="F207" s="113">
        <f>VLOOKUP(CONCATENATE(VLOOKUP(A207,TEAMS,2,FALSE),TEXT($B207,"00")),PLAYERS,F$1,FALSE)</f>
        <v>4</v>
      </c>
      <c r="G207" s="113">
        <f>VLOOKUP(CONCATENATE(VLOOKUP(A207,TEAMS,2,FALSE),TEXT($B207,"00")),PLAYERS,G$1,FALSE)</f>
        <v>3</v>
      </c>
      <c r="H207" s="113" t="str">
        <f>CONCATENATE(VLOOKUP(CONCATENATE(VLOOKUP(A207,TEAMS,2,FALSE),TEXT($B207,"00")),PLAYERS,H$1,FALSE),"+")</f>
        <v>4+</v>
      </c>
      <c r="I207" s="113" t="str">
        <f>CONCATENATE(VLOOKUP(CONCATENATE(VLOOKUP(A207,TEAMS,2,FALSE),TEXT($B207,"00")),PLAYERS,I$1,FALSE),IF(VLOOKUP(CONCATENATE(VLOOKUP(A207,TEAMS,2,FALSE),TEXT($B207,"00")),PLAYERS,I$1,FALSE)="-","","+"))</f>
        <v>-</v>
      </c>
      <c r="J207" s="113" t="str">
        <f>CONCATENATE(VLOOKUP(CONCATENATE(VLOOKUP(A207,TEAMS,2,FALSE),TEXT($B207,"00")),PLAYERS,J$1,FALSE),"+")</f>
        <v>9+</v>
      </c>
      <c r="K207" s="115" t="str">
        <f>VLOOKUP(CONCATENATE(VLOOKUP(A207,TEAMS,2,FALSE),TEXT($B207,"00")),PLAYERS,K$1,FALSE)</f>
        <v>Regeneration</v>
      </c>
      <c r="L207" s="114" t="str">
        <f>VLOOKUP(CONCATENATE(VLOOKUP(A207,TEAMS,2,FALSE),TEXT($B207,"00")),PLAYERS,L$1,FALSE)</f>
        <v>G</v>
      </c>
      <c r="M207" s="114" t="str">
        <f>VLOOKUP(CONCATENATE(VLOOKUP(A207,TEAMS,2,FALSE),TEXT($B207,"00")),PLAYERS,M$1,FALSE)</f>
        <v>AS</v>
      </c>
      <c r="N207" s="113" t="str">
        <f>CONCATENATE(ABS(VLOOKUP(CONCATENATE(VLOOKUP(A207,TEAMS,2,FALSE),TEXT(B207,"00")),PLAYERS,5,FALSE)),"k")</f>
        <v>40k</v>
      </c>
    </row>
    <row r="208" spans="1:14" x14ac:dyDescent="0.25">
      <c r="A208" s="6" t="s">
        <v>113</v>
      </c>
      <c r="B208" s="6">
        <v>3</v>
      </c>
      <c r="D208" s="114" t="str">
        <f>CONCATENATE("0-",VLOOKUP(CONCATENATE(VLOOKUP(A208,TEAMS,2,FALSE),TEXT(B208,"00")),PLAYERS,$D$1,FALSE),IF(VLOOKUP(CONCATENATE(VLOOKUP(A208,TEAMS,2,FALSE),TEXT(B208,"00")),PLAYERS,$D$1+1,FALSE)="BG"," *",""))</f>
        <v>0-4</v>
      </c>
      <c r="E208" s="115" t="str">
        <f>VLOOKUP(CONCATENATE(VLOOKUP(A208,TEAMS,2,FALSE),TEXT($B208,"00")),PLAYERS,E$1,FALSE)</f>
        <v>Ghoul Runner</v>
      </c>
      <c r="F208" s="113">
        <f>VLOOKUP(CONCATENATE(VLOOKUP(A208,TEAMS,2,FALSE),TEXT($B208,"00")),PLAYERS,F$1,FALSE)</f>
        <v>7</v>
      </c>
      <c r="G208" s="113">
        <f>VLOOKUP(CONCATENATE(VLOOKUP(A208,TEAMS,2,FALSE),TEXT($B208,"00")),PLAYERS,G$1,FALSE)</f>
        <v>3</v>
      </c>
      <c r="H208" s="113" t="str">
        <f>CONCATENATE(VLOOKUP(CONCATENATE(VLOOKUP(A208,TEAMS,2,FALSE),TEXT($B208,"00")),PLAYERS,H$1,FALSE),"+")</f>
        <v>3+</v>
      </c>
      <c r="I208" s="113" t="str">
        <f>CONCATENATE(VLOOKUP(CONCATENATE(VLOOKUP(A208,TEAMS,2,FALSE),TEXT($B208,"00")),PLAYERS,I$1,FALSE),IF(VLOOKUP(CONCATENATE(VLOOKUP(A208,TEAMS,2,FALSE),TEXT($B208,"00")),PLAYERS,I$1,FALSE)="-","","+"))</f>
        <v>4+</v>
      </c>
      <c r="J208" s="113" t="str">
        <f>CONCATENATE(VLOOKUP(CONCATENATE(VLOOKUP(A208,TEAMS,2,FALSE),TEXT($B208,"00")),PLAYERS,J$1,FALSE),"+")</f>
        <v>8+</v>
      </c>
      <c r="K208" s="115" t="str">
        <f>VLOOKUP(CONCATENATE(VLOOKUP(A208,TEAMS,2,FALSE),TEXT($B208,"00")),PLAYERS,K$1,FALSE)</f>
        <v>Dodge</v>
      </c>
      <c r="L208" s="114" t="str">
        <f>VLOOKUP(CONCATENATE(VLOOKUP(A208,TEAMS,2,FALSE),TEXT($B208,"00")),PLAYERS,L$1,FALSE)</f>
        <v>AG</v>
      </c>
      <c r="M208" s="114" t="str">
        <f>VLOOKUP(CONCATENATE(VLOOKUP(A208,TEAMS,2,FALSE),TEXT($B208,"00")),PLAYERS,M$1,FALSE)</f>
        <v>PS</v>
      </c>
      <c r="N208" s="113" t="str">
        <f>CONCATENATE(ABS(VLOOKUP(CONCATENATE(VLOOKUP(A208,TEAMS,2,FALSE),TEXT(B208,"00")),PLAYERS,5,FALSE)),"k")</f>
        <v>75k</v>
      </c>
    </row>
    <row r="209" spans="1:14" x14ac:dyDescent="0.25">
      <c r="A209" s="6" t="s">
        <v>113</v>
      </c>
      <c r="B209" s="6">
        <v>4</v>
      </c>
      <c r="D209" s="114" t="str">
        <f>CONCATENATE("0-",VLOOKUP(CONCATENATE(VLOOKUP(A209,TEAMS,2,FALSE),TEXT(B209,"00")),PLAYERS,$D$1,FALSE),IF(VLOOKUP(CONCATENATE(VLOOKUP(A209,TEAMS,2,FALSE),TEXT(B209,"00")),PLAYERS,$D$1+1,FALSE)="BG"," *",""))</f>
        <v>0-2</v>
      </c>
      <c r="E209" s="115" t="str">
        <f>VLOOKUP(CONCATENATE(VLOOKUP(A209,TEAMS,2,FALSE),TEXT($B209,"00")),PLAYERS,E$1,FALSE)</f>
        <v>Wight Blitzer</v>
      </c>
      <c r="F209" s="113">
        <f>VLOOKUP(CONCATENATE(VLOOKUP(A209,TEAMS,2,FALSE),TEXT($B209,"00")),PLAYERS,F$1,FALSE)</f>
        <v>6</v>
      </c>
      <c r="G209" s="113">
        <f>VLOOKUP(CONCATENATE(VLOOKUP(A209,TEAMS,2,FALSE),TEXT($B209,"00")),PLAYERS,G$1,FALSE)</f>
        <v>3</v>
      </c>
      <c r="H209" s="113" t="str">
        <f>CONCATENATE(VLOOKUP(CONCATENATE(VLOOKUP(A209,TEAMS,2,FALSE),TEXT($B209,"00")),PLAYERS,H$1,FALSE),"+")</f>
        <v>3+</v>
      </c>
      <c r="I209" s="113" t="str">
        <f>CONCATENATE(VLOOKUP(CONCATENATE(VLOOKUP(A209,TEAMS,2,FALSE),TEXT($B209,"00")),PLAYERS,I$1,FALSE),IF(VLOOKUP(CONCATENATE(VLOOKUP(A209,TEAMS,2,FALSE),TEXT($B209,"00")),PLAYERS,I$1,FALSE)="-","","+"))</f>
        <v>5+</v>
      </c>
      <c r="J209" s="113" t="str">
        <f>CONCATENATE(VLOOKUP(CONCATENATE(VLOOKUP(A209,TEAMS,2,FALSE),TEXT($B209,"00")),PLAYERS,J$1,FALSE),"+")</f>
        <v>9+</v>
      </c>
      <c r="K209" s="115" t="str">
        <f>VLOOKUP(CONCATENATE(VLOOKUP(A209,TEAMS,2,FALSE),TEXT($B209,"00")),PLAYERS,K$1,FALSE)</f>
        <v>Block, Regeneration</v>
      </c>
      <c r="L209" s="114" t="str">
        <f>VLOOKUP(CONCATENATE(VLOOKUP(A209,TEAMS,2,FALSE),TEXT($B209,"00")),PLAYERS,L$1,FALSE)</f>
        <v>GS</v>
      </c>
      <c r="M209" s="114" t="str">
        <f>VLOOKUP(CONCATENATE(VLOOKUP(A209,TEAMS,2,FALSE),TEXT($B209,"00")),PLAYERS,M$1,FALSE)</f>
        <v>AP</v>
      </c>
      <c r="N209" s="113" t="str">
        <f>CONCATENATE(ABS(VLOOKUP(CONCATENATE(VLOOKUP(A209,TEAMS,2,FALSE),TEXT(B209,"00")),PLAYERS,5,FALSE)),"k")</f>
        <v>90k</v>
      </c>
    </row>
    <row r="210" spans="1:14" x14ac:dyDescent="0.25">
      <c r="A210" s="6" t="s">
        <v>113</v>
      </c>
      <c r="B210" s="6">
        <v>5</v>
      </c>
      <c r="D210" s="114" t="str">
        <f>CONCATENATE("0-",VLOOKUP(CONCATENATE(VLOOKUP(A210,TEAMS,2,FALSE),TEXT(B210,"00")),PLAYERS,$D$1,FALSE),IF(VLOOKUP(CONCATENATE(VLOOKUP(A210,TEAMS,2,FALSE),TEXT(B210,"00")),PLAYERS,$D$1+1,FALSE)="BG"," *",""))</f>
        <v>0-2</v>
      </c>
      <c r="E210" s="115" t="str">
        <f>VLOOKUP(CONCATENATE(VLOOKUP(A210,TEAMS,2,FALSE),TEXT($B210,"00")),PLAYERS,E$1,FALSE)</f>
        <v>Mummy</v>
      </c>
      <c r="F210" s="113">
        <f>VLOOKUP(CONCATENATE(VLOOKUP(A210,TEAMS,2,FALSE),TEXT($B210,"00")),PLAYERS,F$1,FALSE)</f>
        <v>3</v>
      </c>
      <c r="G210" s="113">
        <f>VLOOKUP(CONCATENATE(VLOOKUP(A210,TEAMS,2,FALSE),TEXT($B210,"00")),PLAYERS,G$1,FALSE)</f>
        <v>5</v>
      </c>
      <c r="H210" s="113" t="str">
        <f>CONCATENATE(VLOOKUP(CONCATENATE(VLOOKUP(A210,TEAMS,2,FALSE),TEXT($B210,"00")),PLAYERS,H$1,FALSE),"+")</f>
        <v>5+</v>
      </c>
      <c r="I210" s="113" t="str">
        <f>CONCATENATE(VLOOKUP(CONCATENATE(VLOOKUP(A210,TEAMS,2,FALSE),TEXT($B210,"00")),PLAYERS,I$1,FALSE),IF(VLOOKUP(CONCATENATE(VLOOKUP(A210,TEAMS,2,FALSE),TEXT($B210,"00")),PLAYERS,I$1,FALSE)="-","","+"))</f>
        <v>-</v>
      </c>
      <c r="J210" s="113" t="str">
        <f>CONCATENATE(VLOOKUP(CONCATENATE(VLOOKUP(A210,TEAMS,2,FALSE),TEXT($B210,"00")),PLAYERS,J$1,FALSE),"+")</f>
        <v>10+</v>
      </c>
      <c r="K210" s="115" t="str">
        <f>VLOOKUP(CONCATENATE(VLOOKUP(A210,TEAMS,2,FALSE),TEXT($B210,"00")),PLAYERS,K$1,FALSE)</f>
        <v>Mighty Blow (+1), Regeneration</v>
      </c>
      <c r="L210" s="114" t="str">
        <f>VLOOKUP(CONCATENATE(VLOOKUP(A210,TEAMS,2,FALSE),TEXT($B210,"00")),PLAYERS,L$1,FALSE)</f>
        <v>S</v>
      </c>
      <c r="M210" s="114" t="str">
        <f>VLOOKUP(CONCATENATE(VLOOKUP(A210,TEAMS,2,FALSE),TEXT($B210,"00")),PLAYERS,M$1,FALSE)</f>
        <v>AG</v>
      </c>
      <c r="N210" s="113" t="str">
        <f>CONCATENATE(ABS(VLOOKUP(CONCATENATE(VLOOKUP(A210,TEAMS,2,FALSE),TEXT(B210,"00")),PLAYERS,5,FALSE)),"k")</f>
        <v>125k</v>
      </c>
    </row>
    <row r="211" spans="1:14" x14ac:dyDescent="0.25">
      <c r="D211" s="64" t="s">
        <v>676</v>
      </c>
      <c r="E211" s="64" t="str">
        <f>CONCATENATE(VLOOKUP(A204,TEAMS,5,FALSE),"k")</f>
        <v>70k</v>
      </c>
      <c r="F211" s="466" t="s">
        <v>680</v>
      </c>
      <c r="G211" s="471"/>
      <c r="H211" s="471"/>
      <c r="I211" s="467"/>
      <c r="J211" s="113" t="str">
        <f>VLOOKUP(A204,TEAMS,6,FALSE)</f>
        <v>No</v>
      </c>
      <c r="K211" s="468" t="s">
        <v>681</v>
      </c>
      <c r="L211" s="469"/>
      <c r="M211" s="470"/>
      <c r="N211" s="116">
        <f>VLOOKUP(A204,TEAMS,8,FALSE)</f>
        <v>1</v>
      </c>
    </row>
    <row r="212" spans="1:14" ht="15" customHeight="1" x14ac:dyDescent="0.25">
      <c r="D212" s="466" t="s">
        <v>682</v>
      </c>
      <c r="E212" s="467"/>
      <c r="F212" s="462" t="str">
        <f>IFERROR(VLOOKUP(LEFT(VLOOKUP(A206,TEAMS,7,FALSE),3),SpecialRules,3,FALSE) &amp; VLOOKUP(MID(VLOOKUP(A206,TEAMS,7,FALSE),4,3),SpecialRules,3,FALSE),"")</f>
        <v xml:space="preserve">If a player on the opposing team with a Strength characteristic of 4 or less and that does not have the Regeneration or Stunty traits suffers a Casualty result of 15-16, DEAD, and if they cannot be saved by an apothecary, a new rookie Zombie Lineman player can be placed immediately in the Reserves box of this team’s dugout. Unless this team is a Vampire team, this team may not hire an Apothecary. This team is allowed to induce a Morturary Assistant. </v>
      </c>
      <c r="G212" s="462"/>
      <c r="H212" s="462"/>
      <c r="I212" s="462"/>
      <c r="J212" s="462"/>
      <c r="K212" s="462"/>
      <c r="L212" s="462"/>
      <c r="M212" s="462"/>
      <c r="N212" s="462"/>
    </row>
    <row r="213" spans="1:14" x14ac:dyDescent="0.25">
      <c r="D213" s="465"/>
      <c r="E213" s="465"/>
      <c r="F213" s="465"/>
      <c r="G213" s="465"/>
      <c r="H213" s="465"/>
      <c r="I213" s="465"/>
      <c r="J213" s="465"/>
      <c r="K213" s="465"/>
      <c r="L213" s="465"/>
      <c r="M213" s="465"/>
      <c r="N213" s="465"/>
    </row>
    <row r="214" spans="1:14" ht="21" x14ac:dyDescent="0.35">
      <c r="A214" s="6" t="s">
        <v>114</v>
      </c>
      <c r="B214" s="6">
        <v>5</v>
      </c>
      <c r="D214" s="459" t="str">
        <f>A214</f>
        <v>Skaven</v>
      </c>
      <c r="E214" s="459"/>
      <c r="F214" s="459"/>
      <c r="G214" s="459"/>
      <c r="H214" s="459"/>
      <c r="I214" s="459"/>
      <c r="J214" s="459"/>
      <c r="K214" s="459"/>
      <c r="L214" s="459"/>
      <c r="M214" s="459"/>
      <c r="N214" s="459"/>
    </row>
    <row r="215" spans="1:14" x14ac:dyDescent="0.25">
      <c r="A215" s="6" t="s">
        <v>114</v>
      </c>
      <c r="D215" s="64" t="s">
        <v>952</v>
      </c>
      <c r="E215" s="64" t="s">
        <v>4</v>
      </c>
      <c r="F215" s="113" t="s">
        <v>5</v>
      </c>
      <c r="G215" s="113" t="s">
        <v>6</v>
      </c>
      <c r="H215" s="113" t="s">
        <v>7</v>
      </c>
      <c r="I215" s="113" t="s">
        <v>8</v>
      </c>
      <c r="J215" s="113" t="s">
        <v>9</v>
      </c>
      <c r="K215" s="64" t="s">
        <v>662</v>
      </c>
      <c r="L215" s="64" t="s">
        <v>674</v>
      </c>
      <c r="M215" s="64" t="s">
        <v>675</v>
      </c>
      <c r="N215" s="116" t="s">
        <v>879</v>
      </c>
    </row>
    <row r="216" spans="1:14" x14ac:dyDescent="0.25">
      <c r="A216" s="6" t="s">
        <v>114</v>
      </c>
      <c r="B216" s="6">
        <v>1</v>
      </c>
      <c r="D216" s="114" t="str">
        <f>CONCATENATE("0-",VLOOKUP(CONCATENATE(VLOOKUP(A216,TEAMS,2,FALSE),TEXT(B216,"00")),PLAYERS,$D$1,FALSE),IF(VLOOKUP(CONCATENATE(VLOOKUP(A216,TEAMS,2,FALSE),TEXT(B216,"00")),PLAYERS,$D$1+1,FALSE)="BG"," *",""))</f>
        <v>0-16</v>
      </c>
      <c r="E216" s="115" t="str">
        <f>VLOOKUP(CONCATENATE(VLOOKUP(A216,TEAMS,2,FALSE),TEXT($B216,"00")),PLAYERS,E$1,FALSE)</f>
        <v>Skaven Clanrat Lineman</v>
      </c>
      <c r="F216" s="113">
        <f>VLOOKUP(CONCATENATE(VLOOKUP(A216,TEAMS,2,FALSE),TEXT($B216,"00")),PLAYERS,F$1,FALSE)</f>
        <v>7</v>
      </c>
      <c r="G216" s="113">
        <f>VLOOKUP(CONCATENATE(VLOOKUP(A216,TEAMS,2,FALSE),TEXT($B216,"00")),PLAYERS,G$1,FALSE)</f>
        <v>3</v>
      </c>
      <c r="H216" s="113" t="str">
        <f>CONCATENATE(VLOOKUP(CONCATENATE(VLOOKUP(A216,TEAMS,2,FALSE),TEXT($B216,"00")),PLAYERS,H$1,FALSE),"+")</f>
        <v>3+</v>
      </c>
      <c r="I216" s="113" t="str">
        <f>CONCATENATE(VLOOKUP(CONCATENATE(VLOOKUP(A216,TEAMS,2,FALSE),TEXT($B216,"00")),PLAYERS,I$1,FALSE),IF(VLOOKUP(CONCATENATE(VLOOKUP(A216,TEAMS,2,FALSE),TEXT($B216,"00")),PLAYERS,I$1,FALSE)="-","","+"))</f>
        <v>4+</v>
      </c>
      <c r="J216" s="113" t="str">
        <f>CONCATENATE(VLOOKUP(CONCATENATE(VLOOKUP(A216,TEAMS,2,FALSE),TEXT($B216,"00")),PLAYERS,J$1,FALSE),"+")</f>
        <v>8+</v>
      </c>
      <c r="K216" s="115" t="str">
        <f>VLOOKUP(CONCATENATE(VLOOKUP(A216,TEAMS,2,FALSE),TEXT($B216,"00")),PLAYERS,K$1,FALSE)</f>
        <v>None</v>
      </c>
      <c r="L216" s="114" t="str">
        <f>VLOOKUP(CONCATENATE(VLOOKUP(A216,TEAMS,2,FALSE),TEXT($B216,"00")),PLAYERS,L$1,FALSE)</f>
        <v>G</v>
      </c>
      <c r="M216" s="114" t="str">
        <f>VLOOKUP(CONCATENATE(VLOOKUP(A216,TEAMS,2,FALSE),TEXT($B216,"00")),PLAYERS,M$1,FALSE)</f>
        <v>AMS</v>
      </c>
      <c r="N216" s="113" t="str">
        <f>CONCATENATE(ABS(VLOOKUP(CONCATENATE(VLOOKUP(A216,TEAMS,2,FALSE),TEXT(B216,"00")),PLAYERS,5,FALSE)),"k")</f>
        <v>50k</v>
      </c>
    </row>
    <row r="217" spans="1:14" x14ac:dyDescent="0.25">
      <c r="A217" s="6" t="s">
        <v>114</v>
      </c>
      <c r="B217" s="6">
        <v>2</v>
      </c>
      <c r="D217" s="114" t="str">
        <f>CONCATENATE("0-",VLOOKUP(CONCATENATE(VLOOKUP(A217,TEAMS,2,FALSE),TEXT(B217,"00")),PLAYERS,$D$1,FALSE),IF(VLOOKUP(CONCATENATE(VLOOKUP(A217,TEAMS,2,FALSE),TEXT(B217,"00")),PLAYERS,$D$1+1,FALSE)="BG"," *",""))</f>
        <v>0-2</v>
      </c>
      <c r="E217" s="115" t="str">
        <f>VLOOKUP(CONCATENATE(VLOOKUP(A217,TEAMS,2,FALSE),TEXT($B217,"00")),PLAYERS,E$1,FALSE)</f>
        <v>Skaven Thrower</v>
      </c>
      <c r="F217" s="113">
        <f>VLOOKUP(CONCATENATE(VLOOKUP(A217,TEAMS,2,FALSE),TEXT($B217,"00")),PLAYERS,F$1,FALSE)</f>
        <v>7</v>
      </c>
      <c r="G217" s="113">
        <f>VLOOKUP(CONCATENATE(VLOOKUP(A217,TEAMS,2,FALSE),TEXT($B217,"00")),PLAYERS,G$1,FALSE)</f>
        <v>3</v>
      </c>
      <c r="H217" s="113" t="str">
        <f>CONCATENATE(VLOOKUP(CONCATENATE(VLOOKUP(A217,TEAMS,2,FALSE),TEXT($B217,"00")),PLAYERS,H$1,FALSE),"+")</f>
        <v>3+</v>
      </c>
      <c r="I217" s="113" t="str">
        <f>CONCATENATE(VLOOKUP(CONCATENATE(VLOOKUP(A217,TEAMS,2,FALSE),TEXT($B217,"00")),PLAYERS,I$1,FALSE),IF(VLOOKUP(CONCATENATE(VLOOKUP(A217,TEAMS,2,FALSE),TEXT($B217,"00")),PLAYERS,I$1,FALSE)="-","","+"))</f>
        <v>2+</v>
      </c>
      <c r="J217" s="113" t="str">
        <f>CONCATENATE(VLOOKUP(CONCATENATE(VLOOKUP(A217,TEAMS,2,FALSE),TEXT($B217,"00")),PLAYERS,J$1,FALSE),"+")</f>
        <v>8+</v>
      </c>
      <c r="K217" s="115" t="str">
        <f>VLOOKUP(CONCATENATE(VLOOKUP(A217,TEAMS,2,FALSE),TEXT($B217,"00")),PLAYERS,K$1,FALSE)</f>
        <v>Pass, Sure Hands</v>
      </c>
      <c r="L217" s="114" t="str">
        <f>VLOOKUP(CONCATENATE(VLOOKUP(A217,TEAMS,2,FALSE),TEXT($B217,"00")),PLAYERS,L$1,FALSE)</f>
        <v>GP</v>
      </c>
      <c r="M217" s="114" t="str">
        <f>VLOOKUP(CONCATENATE(VLOOKUP(A217,TEAMS,2,FALSE),TEXT($B217,"00")),PLAYERS,M$1,FALSE)</f>
        <v>AMS</v>
      </c>
      <c r="N217" s="113" t="str">
        <f>CONCATENATE(ABS(VLOOKUP(CONCATENATE(VLOOKUP(A217,TEAMS,2,FALSE),TEXT(B217,"00")),PLAYERS,5,FALSE)),"k")</f>
        <v>85k</v>
      </c>
    </row>
    <row r="218" spans="1:14" x14ac:dyDescent="0.25">
      <c r="A218" s="6" t="s">
        <v>114</v>
      </c>
      <c r="B218" s="6">
        <v>3</v>
      </c>
      <c r="D218" s="114" t="str">
        <f>CONCATENATE("0-",VLOOKUP(CONCATENATE(VLOOKUP(A218,TEAMS,2,FALSE),TEXT(B218,"00")),PLAYERS,$D$1,FALSE),IF(VLOOKUP(CONCATENATE(VLOOKUP(A218,TEAMS,2,FALSE),TEXT(B218,"00")),PLAYERS,$D$1+1,FALSE)="BG"," *",""))</f>
        <v>0-4</v>
      </c>
      <c r="E218" s="115" t="str">
        <f>VLOOKUP(CONCATENATE(VLOOKUP(A218,TEAMS,2,FALSE),TEXT($B218,"00")),PLAYERS,E$1,FALSE)</f>
        <v>Skaven Gutter Runner</v>
      </c>
      <c r="F218" s="113">
        <f>VLOOKUP(CONCATENATE(VLOOKUP(A218,TEAMS,2,FALSE),TEXT($B218,"00")),PLAYERS,F$1,FALSE)</f>
        <v>9</v>
      </c>
      <c r="G218" s="113">
        <f>VLOOKUP(CONCATENATE(VLOOKUP(A218,TEAMS,2,FALSE),TEXT($B218,"00")),PLAYERS,G$1,FALSE)</f>
        <v>2</v>
      </c>
      <c r="H218" s="113" t="str">
        <f>CONCATENATE(VLOOKUP(CONCATENATE(VLOOKUP(A218,TEAMS,2,FALSE),TEXT($B218,"00")),PLAYERS,H$1,FALSE),"+")</f>
        <v>2+</v>
      </c>
      <c r="I218" s="113" t="str">
        <f>CONCATENATE(VLOOKUP(CONCATENATE(VLOOKUP(A218,TEAMS,2,FALSE),TEXT($B218,"00")),PLAYERS,I$1,FALSE),IF(VLOOKUP(CONCATENATE(VLOOKUP(A218,TEAMS,2,FALSE),TEXT($B218,"00")),PLAYERS,I$1,FALSE)="-","","+"))</f>
        <v>4+</v>
      </c>
      <c r="J218" s="113" t="str">
        <f>CONCATENATE(VLOOKUP(CONCATENATE(VLOOKUP(A218,TEAMS,2,FALSE),TEXT($B218,"00")),PLAYERS,J$1,FALSE),"+")</f>
        <v>8+</v>
      </c>
      <c r="K218" s="115" t="str">
        <f>VLOOKUP(CONCATENATE(VLOOKUP(A218,TEAMS,2,FALSE),TEXT($B218,"00")),PLAYERS,K$1,FALSE)</f>
        <v>Dodge</v>
      </c>
      <c r="L218" s="114" t="str">
        <f>VLOOKUP(CONCATENATE(VLOOKUP(A218,TEAMS,2,FALSE),TEXT($B218,"00")),PLAYERS,L$1,FALSE)</f>
        <v>AG</v>
      </c>
      <c r="M218" s="114" t="str">
        <f>VLOOKUP(CONCATENATE(VLOOKUP(A218,TEAMS,2,FALSE),TEXT($B218,"00")),PLAYERS,M$1,FALSE)</f>
        <v>MPS</v>
      </c>
      <c r="N218" s="113" t="str">
        <f>CONCATENATE(ABS(VLOOKUP(CONCATENATE(VLOOKUP(A218,TEAMS,2,FALSE),TEXT(B218,"00")),PLAYERS,5,FALSE)),"k")</f>
        <v>85k</v>
      </c>
    </row>
    <row r="219" spans="1:14" x14ac:dyDescent="0.25">
      <c r="A219" s="6" t="s">
        <v>114</v>
      </c>
      <c r="B219" s="6">
        <v>4</v>
      </c>
      <c r="D219" s="114" t="str">
        <f>CONCATENATE("0-",VLOOKUP(CONCATENATE(VLOOKUP(A219,TEAMS,2,FALSE),TEXT(B219,"00")),PLAYERS,$D$1,FALSE),IF(VLOOKUP(CONCATENATE(VLOOKUP(A219,TEAMS,2,FALSE),TEXT(B219,"00")),PLAYERS,$D$1+1,FALSE)="BG"," *",""))</f>
        <v>0-2</v>
      </c>
      <c r="E219" s="115" t="str">
        <f>VLOOKUP(CONCATENATE(VLOOKUP(A219,TEAMS,2,FALSE),TEXT($B219,"00")),PLAYERS,E$1,FALSE)</f>
        <v>Skaven Blitzer</v>
      </c>
      <c r="F219" s="113">
        <f>VLOOKUP(CONCATENATE(VLOOKUP(A219,TEAMS,2,FALSE),TEXT($B219,"00")),PLAYERS,F$1,FALSE)</f>
        <v>7</v>
      </c>
      <c r="G219" s="113">
        <f>VLOOKUP(CONCATENATE(VLOOKUP(A219,TEAMS,2,FALSE),TEXT($B219,"00")),PLAYERS,G$1,FALSE)</f>
        <v>3</v>
      </c>
      <c r="H219" s="113" t="str">
        <f>CONCATENATE(VLOOKUP(CONCATENATE(VLOOKUP(A219,TEAMS,2,FALSE),TEXT($B219,"00")),PLAYERS,H$1,FALSE),"+")</f>
        <v>3+</v>
      </c>
      <c r="I219" s="113" t="str">
        <f>CONCATENATE(VLOOKUP(CONCATENATE(VLOOKUP(A219,TEAMS,2,FALSE),TEXT($B219,"00")),PLAYERS,I$1,FALSE),IF(VLOOKUP(CONCATENATE(VLOOKUP(A219,TEAMS,2,FALSE),TEXT($B219,"00")),PLAYERS,I$1,FALSE)="-","","+"))</f>
        <v>5+</v>
      </c>
      <c r="J219" s="113" t="str">
        <f>CONCATENATE(VLOOKUP(CONCATENATE(VLOOKUP(A219,TEAMS,2,FALSE),TEXT($B219,"00")),PLAYERS,J$1,FALSE),"+")</f>
        <v>9+</v>
      </c>
      <c r="K219" s="115" t="str">
        <f>VLOOKUP(CONCATENATE(VLOOKUP(A219,TEAMS,2,FALSE),TEXT($B219,"00")),PLAYERS,K$1,FALSE)</f>
        <v>Block</v>
      </c>
      <c r="L219" s="114" t="str">
        <f>VLOOKUP(CONCATENATE(VLOOKUP(A219,TEAMS,2,FALSE),TEXT($B219,"00")),PLAYERS,L$1,FALSE)</f>
        <v>GS</v>
      </c>
      <c r="M219" s="114" t="str">
        <f>VLOOKUP(CONCATENATE(VLOOKUP(A219,TEAMS,2,FALSE),TEXT($B219,"00")),PLAYERS,M$1,FALSE)</f>
        <v>AMP</v>
      </c>
      <c r="N219" s="113" t="str">
        <f>CONCATENATE(ABS(VLOOKUP(CONCATENATE(VLOOKUP(A219,TEAMS,2,FALSE),TEXT(B219,"00")),PLAYERS,5,FALSE)),"k")</f>
        <v>90k</v>
      </c>
    </row>
    <row r="220" spans="1:14" ht="30" x14ac:dyDescent="0.25">
      <c r="A220" s="6" t="s">
        <v>114</v>
      </c>
      <c r="B220" s="6">
        <v>5</v>
      </c>
      <c r="D220" s="114" t="str">
        <f>CONCATENATE("0-",VLOOKUP(CONCATENATE(VLOOKUP(A220,TEAMS,2,FALSE),TEXT(B220,"00")),PLAYERS,$D$1,FALSE),IF(VLOOKUP(CONCATENATE(VLOOKUP(A220,TEAMS,2,FALSE),TEXT(B220,"00")),PLAYERS,$D$1+1,FALSE)="BG"," *",""))</f>
        <v>0-1</v>
      </c>
      <c r="E220" s="115" t="str">
        <f>VLOOKUP(CONCATENATE(VLOOKUP(A220,TEAMS,2,FALSE),TEXT($B220,"00")),PLAYERS,E$1,FALSE)</f>
        <v>Rat Ogre</v>
      </c>
      <c r="F220" s="113">
        <f>VLOOKUP(CONCATENATE(VLOOKUP(A220,TEAMS,2,FALSE),TEXT($B220,"00")),PLAYERS,F$1,FALSE)</f>
        <v>6</v>
      </c>
      <c r="G220" s="113">
        <f>VLOOKUP(CONCATENATE(VLOOKUP(A220,TEAMS,2,FALSE),TEXT($B220,"00")),PLAYERS,G$1,FALSE)</f>
        <v>5</v>
      </c>
      <c r="H220" s="113" t="str">
        <f>CONCATENATE(VLOOKUP(CONCATENATE(VLOOKUP(A220,TEAMS,2,FALSE),TEXT($B220,"00")),PLAYERS,H$1,FALSE),"+")</f>
        <v>4+</v>
      </c>
      <c r="I220" s="113" t="str">
        <f>CONCATENATE(VLOOKUP(CONCATENATE(VLOOKUP(A220,TEAMS,2,FALSE),TEXT($B220,"00")),PLAYERS,I$1,FALSE),IF(VLOOKUP(CONCATENATE(VLOOKUP(A220,TEAMS,2,FALSE),TEXT($B220,"00")),PLAYERS,I$1,FALSE)="-","","+"))</f>
        <v>-</v>
      </c>
      <c r="J220" s="113" t="str">
        <f>CONCATENATE(VLOOKUP(CONCATENATE(VLOOKUP(A220,TEAMS,2,FALSE),TEXT($B220,"00")),PLAYERS,J$1,FALSE),"+")</f>
        <v>9+</v>
      </c>
      <c r="K220" s="115" t="str">
        <f>VLOOKUP(CONCATENATE(VLOOKUP(A220,TEAMS,2,FALSE),TEXT($B220,"00")),PLAYERS,K$1,FALSE)</f>
        <v>Animal Savagery*, Frenzy*, Loner (4+)*, Mighty Blow (+1), Prehensile Tail</v>
      </c>
      <c r="L220" s="114" t="str">
        <f>VLOOKUP(CONCATENATE(VLOOKUP(A220,TEAMS,2,FALSE),TEXT($B220,"00")),PLAYERS,L$1,FALSE)</f>
        <v>S</v>
      </c>
      <c r="M220" s="114" t="str">
        <f>VLOOKUP(CONCATENATE(VLOOKUP(A220,TEAMS,2,FALSE),TEXT($B220,"00")),PLAYERS,M$1,FALSE)</f>
        <v>AGM</v>
      </c>
      <c r="N220" s="113" t="str">
        <f>CONCATENATE(ABS(VLOOKUP(CONCATENATE(VLOOKUP(A220,TEAMS,2,FALSE),TEXT(B220,"00")),PLAYERS,5,FALSE)),"k")</f>
        <v>150k</v>
      </c>
    </row>
    <row r="221" spans="1:14" x14ac:dyDescent="0.25">
      <c r="D221" s="64" t="s">
        <v>676</v>
      </c>
      <c r="E221" s="64" t="str">
        <f>CONCATENATE(VLOOKUP(A214,TEAMS,5,FALSE),"k")</f>
        <v>50k</v>
      </c>
      <c r="F221" s="466" t="s">
        <v>680</v>
      </c>
      <c r="G221" s="471"/>
      <c r="H221" s="471"/>
      <c r="I221" s="467"/>
      <c r="J221" s="113" t="str">
        <f>VLOOKUP(A214,TEAMS,6,FALSE)</f>
        <v>Yes</v>
      </c>
      <c r="K221" s="468" t="s">
        <v>681</v>
      </c>
      <c r="L221" s="469"/>
      <c r="M221" s="470"/>
      <c r="N221" s="116">
        <f>VLOOKUP(A214,TEAMS,8,FALSE)</f>
        <v>2</v>
      </c>
    </row>
    <row r="222" spans="1:14" ht="15" customHeight="1" x14ac:dyDescent="0.25">
      <c r="D222" s="466" t="s">
        <v>682</v>
      </c>
      <c r="E222" s="467"/>
      <c r="F222" s="462" t="str">
        <f>IFERROR(VLOOKUP(LEFT(VLOOKUP(A216,TEAMS,7,FALSE),3),SpecialRules,3,FALSE) &amp; VLOOKUP(MID(VLOOKUP(A216,TEAMS,7,FALSE),4,3),SpecialRules,3,FALSE),"")</f>
        <v/>
      </c>
      <c r="G222" s="462"/>
      <c r="H222" s="462"/>
      <c r="I222" s="462"/>
      <c r="J222" s="462"/>
      <c r="K222" s="462"/>
      <c r="L222" s="462"/>
      <c r="M222" s="462"/>
      <c r="N222" s="462"/>
    </row>
    <row r="223" spans="1:14" x14ac:dyDescent="0.25">
      <c r="D223" s="465"/>
      <c r="E223" s="465"/>
      <c r="F223" s="465"/>
      <c r="G223" s="465"/>
      <c r="H223" s="465"/>
      <c r="I223" s="465"/>
      <c r="J223" s="465"/>
      <c r="K223" s="465"/>
      <c r="L223" s="465"/>
      <c r="M223" s="465"/>
      <c r="N223" s="465"/>
    </row>
    <row r="224" spans="1:14" ht="21" x14ac:dyDescent="0.35">
      <c r="A224" s="6" t="s">
        <v>115</v>
      </c>
      <c r="B224" s="6">
        <v>6</v>
      </c>
      <c r="D224" s="459" t="str">
        <f>A224</f>
        <v>Snotling</v>
      </c>
      <c r="E224" s="459"/>
      <c r="F224" s="459"/>
      <c r="G224" s="459"/>
      <c r="H224" s="459"/>
      <c r="I224" s="459"/>
      <c r="J224" s="459"/>
      <c r="K224" s="459"/>
      <c r="L224" s="459"/>
      <c r="M224" s="459"/>
      <c r="N224" s="459"/>
    </row>
    <row r="225" spans="1:14" x14ac:dyDescent="0.25">
      <c r="A225" s="6" t="s">
        <v>115</v>
      </c>
      <c r="D225" s="64" t="s">
        <v>952</v>
      </c>
      <c r="E225" s="64" t="s">
        <v>4</v>
      </c>
      <c r="F225" s="113" t="s">
        <v>5</v>
      </c>
      <c r="G225" s="113" t="s">
        <v>6</v>
      </c>
      <c r="H225" s="113" t="s">
        <v>7</v>
      </c>
      <c r="I225" s="113" t="s">
        <v>8</v>
      </c>
      <c r="J225" s="113" t="s">
        <v>9</v>
      </c>
      <c r="K225" s="64" t="s">
        <v>662</v>
      </c>
      <c r="L225" s="64" t="s">
        <v>674</v>
      </c>
      <c r="M225" s="64" t="s">
        <v>675</v>
      </c>
      <c r="N225" s="116" t="s">
        <v>879</v>
      </c>
    </row>
    <row r="226" spans="1:14" ht="30" x14ac:dyDescent="0.25">
      <c r="A226" s="6" t="s">
        <v>115</v>
      </c>
      <c r="B226" s="6">
        <v>1</v>
      </c>
      <c r="D226" s="114" t="str">
        <f t="shared" ref="D226:D231" si="66">CONCATENATE("0-",VLOOKUP(CONCATENATE(VLOOKUP(A226,TEAMS,2,FALSE),TEXT(B226,"00")),PLAYERS,$D$1,FALSE),IF(VLOOKUP(CONCATENATE(VLOOKUP(A226,TEAMS,2,FALSE),TEXT(B226,"00")),PLAYERS,$D$1+1,FALSE)="BG"," *",""))</f>
        <v>0-16</v>
      </c>
      <c r="E226" s="115" t="str">
        <f t="shared" ref="E226:E231" si="67">VLOOKUP(CONCATENATE(VLOOKUP(A226,TEAMS,2,FALSE),TEXT($B226,"00")),PLAYERS,E$1,FALSE)</f>
        <v>Snotling Lineman</v>
      </c>
      <c r="F226" s="113">
        <f t="shared" ref="F226:F231" si="68">VLOOKUP(CONCATENATE(VLOOKUP(A226,TEAMS,2,FALSE),TEXT($B226,"00")),PLAYERS,F$1,FALSE)</f>
        <v>5</v>
      </c>
      <c r="G226" s="113">
        <f t="shared" ref="G226:G231" si="69">VLOOKUP(CONCATENATE(VLOOKUP(A226,TEAMS,2,FALSE),TEXT($B226,"00")),PLAYERS,G$1,FALSE)</f>
        <v>1</v>
      </c>
      <c r="H226" s="113" t="str">
        <f t="shared" ref="H226:H231" si="70">CONCATENATE(VLOOKUP(CONCATENATE(VLOOKUP(A226,TEAMS,2,FALSE),TEXT($B226,"00")),PLAYERS,H$1,FALSE),"+")</f>
        <v>3+</v>
      </c>
      <c r="I226" s="113" t="str">
        <f t="shared" ref="I226:I231" si="71">CONCATENATE(VLOOKUP(CONCATENATE(VLOOKUP(A226,TEAMS,2,FALSE),TEXT($B226,"00")),PLAYERS,I$1,FALSE),IF(VLOOKUP(CONCATENATE(VLOOKUP(A226,TEAMS,2,FALSE),TEXT($B226,"00")),PLAYERS,I$1,FALSE)="-","","+"))</f>
        <v>5+</v>
      </c>
      <c r="J226" s="113" t="str">
        <f t="shared" ref="J226:J231" si="72">CONCATENATE(VLOOKUP(CONCATENATE(VLOOKUP(A226,TEAMS,2,FALSE),TEXT($B226,"00")),PLAYERS,J$1,FALSE),"+")</f>
        <v>6+</v>
      </c>
      <c r="K226" s="115" t="str">
        <f t="shared" ref="K226:K231" si="73">VLOOKUP(CONCATENATE(VLOOKUP(A226,TEAMS,2,FALSE),TEXT($B226,"00")),PLAYERS,K$1,FALSE)</f>
        <v>Dodge, Right Stuff*, Sidestep, Stunty*, Swarming, Titchy*</v>
      </c>
      <c r="L226" s="114" t="str">
        <f t="shared" ref="L226:L231" si="74">VLOOKUP(CONCATENATE(VLOOKUP(A226,TEAMS,2,FALSE),TEXT($B226,"00")),PLAYERS,L$1,FALSE)</f>
        <v>A</v>
      </c>
      <c r="M226" s="114" t="str">
        <f t="shared" ref="M226:M231" si="75">VLOOKUP(CONCATENATE(VLOOKUP(A226,TEAMS,2,FALSE),TEXT($B226,"00")),PLAYERS,M$1,FALSE)</f>
        <v>G</v>
      </c>
      <c r="N226" s="113" t="str">
        <f t="shared" ref="N226:N231" si="76">CONCATENATE(ABS(VLOOKUP(CONCATENATE(VLOOKUP(A226,TEAMS,2,FALSE),TEXT(B226,"00")),PLAYERS,5,FALSE)),"k")</f>
        <v>15k</v>
      </c>
    </row>
    <row r="227" spans="1:14" ht="30" x14ac:dyDescent="0.25">
      <c r="A227" s="6" t="s">
        <v>115</v>
      </c>
      <c r="B227" s="6">
        <v>2</v>
      </c>
      <c r="D227" s="114" t="str">
        <f t="shared" si="66"/>
        <v>0-2</v>
      </c>
      <c r="E227" s="115" t="str">
        <f t="shared" si="67"/>
        <v>Fungus Flinga</v>
      </c>
      <c r="F227" s="113">
        <f t="shared" si="68"/>
        <v>5</v>
      </c>
      <c r="G227" s="113">
        <f t="shared" si="69"/>
        <v>1</v>
      </c>
      <c r="H227" s="113" t="str">
        <f t="shared" si="70"/>
        <v>3+</v>
      </c>
      <c r="I227" s="113" t="str">
        <f t="shared" si="71"/>
        <v>4+</v>
      </c>
      <c r="J227" s="113" t="str">
        <f t="shared" si="72"/>
        <v>6+</v>
      </c>
      <c r="K227" s="115" t="str">
        <f t="shared" si="73"/>
        <v>Bombardier, Dodge, Right Stuff*, Secret Weapon*, Sidestep, Stunty*</v>
      </c>
      <c r="L227" s="114" t="str">
        <f t="shared" si="74"/>
        <v>AP</v>
      </c>
      <c r="M227" s="114" t="str">
        <f t="shared" si="75"/>
        <v>G</v>
      </c>
      <c r="N227" s="113" t="str">
        <f t="shared" si="76"/>
        <v>30k</v>
      </c>
    </row>
    <row r="228" spans="1:14" x14ac:dyDescent="0.25">
      <c r="A228" s="6" t="s">
        <v>115</v>
      </c>
      <c r="B228" s="6">
        <v>3</v>
      </c>
      <c r="D228" s="114" t="str">
        <f t="shared" si="66"/>
        <v>0-2</v>
      </c>
      <c r="E228" s="115" t="str">
        <f t="shared" si="67"/>
        <v>Fun-hoppa</v>
      </c>
      <c r="F228" s="113">
        <f t="shared" si="68"/>
        <v>6</v>
      </c>
      <c r="G228" s="113">
        <f t="shared" si="69"/>
        <v>1</v>
      </c>
      <c r="H228" s="113" t="str">
        <f t="shared" si="70"/>
        <v>3+</v>
      </c>
      <c r="I228" s="113" t="str">
        <f t="shared" si="71"/>
        <v>5+</v>
      </c>
      <c r="J228" s="113" t="str">
        <f t="shared" si="72"/>
        <v>6+</v>
      </c>
      <c r="K228" s="115" t="str">
        <f t="shared" si="73"/>
        <v>Dodge, Pogo Stick, Right Stuff*, Sidestep, Stunty*</v>
      </c>
      <c r="L228" s="114" t="str">
        <f t="shared" si="74"/>
        <v>A</v>
      </c>
      <c r="M228" s="114" t="str">
        <f t="shared" si="75"/>
        <v>G</v>
      </c>
      <c r="N228" s="113" t="str">
        <f t="shared" si="76"/>
        <v>20k</v>
      </c>
    </row>
    <row r="229" spans="1:14" x14ac:dyDescent="0.25">
      <c r="A229" s="6" t="s">
        <v>115</v>
      </c>
      <c r="B229" s="6">
        <v>4</v>
      </c>
      <c r="D229" s="114" t="str">
        <f t="shared" si="66"/>
        <v>0-2</v>
      </c>
      <c r="E229" s="115" t="str">
        <f t="shared" si="67"/>
        <v>Stilty Runna</v>
      </c>
      <c r="F229" s="113">
        <f t="shared" si="68"/>
        <v>6</v>
      </c>
      <c r="G229" s="113">
        <f t="shared" si="69"/>
        <v>1</v>
      </c>
      <c r="H229" s="113" t="str">
        <f t="shared" si="70"/>
        <v>3+</v>
      </c>
      <c r="I229" s="113" t="str">
        <f t="shared" si="71"/>
        <v>5+</v>
      </c>
      <c r="J229" s="113" t="str">
        <f t="shared" si="72"/>
        <v>6+</v>
      </c>
      <c r="K229" s="115" t="str">
        <f t="shared" si="73"/>
        <v>Dodge, Right Stuff*, Sidestep, Sprint, Stunty*</v>
      </c>
      <c r="L229" s="114" t="str">
        <f t="shared" si="74"/>
        <v>A</v>
      </c>
      <c r="M229" s="114" t="str">
        <f t="shared" si="75"/>
        <v>G</v>
      </c>
      <c r="N229" s="113" t="str">
        <f t="shared" si="76"/>
        <v>20k</v>
      </c>
    </row>
    <row r="230" spans="1:14" ht="30" x14ac:dyDescent="0.25">
      <c r="A230" s="6" t="s">
        <v>115</v>
      </c>
      <c r="B230" s="6">
        <v>5</v>
      </c>
      <c r="D230" s="114" t="str">
        <f t="shared" si="66"/>
        <v>0-2</v>
      </c>
      <c r="E230" s="115" t="str">
        <f t="shared" si="67"/>
        <v>Pump Wagon</v>
      </c>
      <c r="F230" s="113">
        <f t="shared" si="68"/>
        <v>4</v>
      </c>
      <c r="G230" s="113">
        <f t="shared" si="69"/>
        <v>5</v>
      </c>
      <c r="H230" s="113" t="str">
        <f t="shared" si="70"/>
        <v>5+</v>
      </c>
      <c r="I230" s="113" t="str">
        <f t="shared" si="71"/>
        <v>-</v>
      </c>
      <c r="J230" s="113" t="str">
        <f t="shared" si="72"/>
        <v>9+</v>
      </c>
      <c r="K230" s="115" t="str">
        <f t="shared" si="73"/>
        <v>Dirty Player (+1), Juggernaut, Mighty Blow (+1), Really Stupid*, Secret Weapon*, Stand Firm</v>
      </c>
      <c r="L230" s="114" t="str">
        <f t="shared" si="74"/>
        <v>S</v>
      </c>
      <c r="M230" s="114" t="str">
        <f t="shared" si="75"/>
        <v>AG</v>
      </c>
      <c r="N230" s="113" t="str">
        <f t="shared" si="76"/>
        <v>105k</v>
      </c>
    </row>
    <row r="231" spans="1:14" ht="45" x14ac:dyDescent="0.25">
      <c r="A231" s="6" t="s">
        <v>115</v>
      </c>
      <c r="B231" s="6">
        <v>6</v>
      </c>
      <c r="D231" s="114" t="str">
        <f t="shared" si="66"/>
        <v>0-2</v>
      </c>
      <c r="E231" s="115" t="str">
        <f t="shared" si="67"/>
        <v>Trained Troll</v>
      </c>
      <c r="F231" s="113">
        <f t="shared" si="68"/>
        <v>4</v>
      </c>
      <c r="G231" s="113">
        <f t="shared" si="69"/>
        <v>5</v>
      </c>
      <c r="H231" s="113" t="str">
        <f t="shared" si="70"/>
        <v>5+</v>
      </c>
      <c r="I231" s="113" t="str">
        <f t="shared" si="71"/>
        <v>5+</v>
      </c>
      <c r="J231" s="113" t="str">
        <f t="shared" si="72"/>
        <v>10+</v>
      </c>
      <c r="K231" s="115" t="str">
        <f t="shared" si="73"/>
        <v>Always Hungry*, Loner (3+)*, Mighty Blow (+1), Projectile Vomit, Really Stupid*, Regeneration, Throw Team-mate</v>
      </c>
      <c r="L231" s="114" t="str">
        <f t="shared" si="74"/>
        <v>S</v>
      </c>
      <c r="M231" s="114" t="str">
        <f t="shared" si="75"/>
        <v>AGP</v>
      </c>
      <c r="N231" s="113" t="str">
        <f t="shared" si="76"/>
        <v>115k</v>
      </c>
    </row>
    <row r="232" spans="1:14" x14ac:dyDescent="0.25">
      <c r="D232" s="64" t="s">
        <v>676</v>
      </c>
      <c r="E232" s="64" t="str">
        <f>CONCATENATE(VLOOKUP(A224,TEAMS,5,FALSE),"k")</f>
        <v>60k</v>
      </c>
      <c r="F232" s="466" t="s">
        <v>680</v>
      </c>
      <c r="G232" s="471"/>
      <c r="H232" s="471"/>
      <c r="I232" s="467"/>
      <c r="J232" s="113" t="str">
        <f>VLOOKUP(A224,TEAMS,6,FALSE)</f>
        <v>Yes</v>
      </c>
      <c r="K232" s="468" t="s">
        <v>681</v>
      </c>
      <c r="L232" s="469"/>
      <c r="M232" s="470"/>
      <c r="N232" s="116">
        <f>VLOOKUP(A224,TEAMS,8,FALSE)</f>
        <v>5</v>
      </c>
    </row>
    <row r="233" spans="1:14" ht="78" customHeight="1" x14ac:dyDescent="0.25">
      <c r="D233" s="466" t="s">
        <v>682</v>
      </c>
      <c r="E233" s="467"/>
      <c r="F233" s="462" t="str">
        <f>IFERROR(VLOOKUP(LEFT(VLOOKUP(A227,TEAMS,7,FALSE),3),SpecialRules,3,FALSE) &amp; VLOOKUP(MID(VLOOKUP(A227,TEAMS,7,FALSE),4,3),SpecialRules,3,FALSE),"")</f>
        <v>Once per game, when rolling on the Argue the Call table, you may re-roll a roll of a natural 1. Bribes are 50,000 gold pieces each.</v>
      </c>
      <c r="G233" s="462"/>
      <c r="H233" s="462"/>
      <c r="I233" s="462"/>
      <c r="J233" s="462"/>
      <c r="K233" s="462"/>
      <c r="L233" s="462"/>
      <c r="M233" s="462"/>
      <c r="N233" s="462"/>
    </row>
    <row r="234" spans="1:14" x14ac:dyDescent="0.25">
      <c r="D234" s="465"/>
      <c r="E234" s="465"/>
      <c r="F234" s="465"/>
      <c r="G234" s="465"/>
      <c r="H234" s="465"/>
      <c r="I234" s="465"/>
      <c r="J234" s="465"/>
      <c r="K234" s="465"/>
      <c r="L234" s="465"/>
      <c r="M234" s="465"/>
      <c r="N234" s="465"/>
    </row>
    <row r="235" spans="1:14" ht="21" x14ac:dyDescent="0.35">
      <c r="A235" s="6" t="s">
        <v>116</v>
      </c>
      <c r="B235" s="6">
        <v>8</v>
      </c>
      <c r="D235" s="459" t="str">
        <f>A235</f>
        <v>Underworld Denizens</v>
      </c>
      <c r="E235" s="459"/>
      <c r="F235" s="459"/>
      <c r="G235" s="459"/>
      <c r="H235" s="459"/>
      <c r="I235" s="459"/>
      <c r="J235" s="459"/>
      <c r="K235" s="459"/>
      <c r="L235" s="459"/>
      <c r="M235" s="459"/>
      <c r="N235" s="459"/>
    </row>
    <row r="236" spans="1:14" x14ac:dyDescent="0.25">
      <c r="A236" s="6" t="s">
        <v>116</v>
      </c>
      <c r="D236" s="64" t="s">
        <v>952</v>
      </c>
      <c r="E236" s="64" t="s">
        <v>4</v>
      </c>
      <c r="F236" s="113" t="s">
        <v>5</v>
      </c>
      <c r="G236" s="113" t="s">
        <v>6</v>
      </c>
      <c r="H236" s="113" t="s">
        <v>7</v>
      </c>
      <c r="I236" s="113" t="s">
        <v>8</v>
      </c>
      <c r="J236" s="113" t="s">
        <v>9</v>
      </c>
      <c r="K236" s="64" t="s">
        <v>662</v>
      </c>
      <c r="L236" s="64" t="s">
        <v>674</v>
      </c>
      <c r="M236" s="64" t="s">
        <v>675</v>
      </c>
      <c r="N236" s="116" t="s">
        <v>879</v>
      </c>
    </row>
    <row r="237" spans="1:14" ht="30" x14ac:dyDescent="0.25">
      <c r="A237" s="6" t="s">
        <v>116</v>
      </c>
      <c r="B237" s="6">
        <v>1</v>
      </c>
      <c r="D237" s="114" t="str">
        <f t="shared" ref="D237:D244" si="77">CONCATENATE("0-",VLOOKUP(CONCATENATE(VLOOKUP(A237,TEAMS,2,FALSE),TEXT(B237,"00")),PLAYERS,$D$1,FALSE),IF(VLOOKUP(CONCATENATE(VLOOKUP(A237,TEAMS,2,FALSE),TEXT(B237,"00")),PLAYERS,$D$1+1,FALSE)="BG"," *",""))</f>
        <v>0-12</v>
      </c>
      <c r="E237" s="115" t="str">
        <f t="shared" ref="E237:E244" si="78">VLOOKUP(CONCATENATE(VLOOKUP(A237,TEAMS,2,FALSE),TEXT($B237,"00")),PLAYERS,E$1,FALSE)</f>
        <v>Underworld Goblin Lineman</v>
      </c>
      <c r="F237" s="113">
        <f t="shared" ref="F237:F244" si="79">VLOOKUP(CONCATENATE(VLOOKUP(A237,TEAMS,2,FALSE),TEXT($B237,"00")),PLAYERS,F$1,FALSE)</f>
        <v>6</v>
      </c>
      <c r="G237" s="113">
        <f t="shared" ref="G237:G244" si="80">VLOOKUP(CONCATENATE(VLOOKUP(A237,TEAMS,2,FALSE),TEXT($B237,"00")),PLAYERS,G$1,FALSE)</f>
        <v>2</v>
      </c>
      <c r="H237" s="113" t="str">
        <f t="shared" ref="H237:H244" si="81">CONCATENATE(VLOOKUP(CONCATENATE(VLOOKUP(A237,TEAMS,2,FALSE),TEXT($B237,"00")),PLAYERS,H$1,FALSE),"+")</f>
        <v>3+</v>
      </c>
      <c r="I237" s="113" t="str">
        <f t="shared" ref="I237:I244" si="82">CONCATENATE(VLOOKUP(CONCATENATE(VLOOKUP(A237,TEAMS,2,FALSE),TEXT($B237,"00")),PLAYERS,I$1,FALSE),IF(VLOOKUP(CONCATENATE(VLOOKUP(A237,TEAMS,2,FALSE),TEXT($B237,"00")),PLAYERS,I$1,FALSE)="-","","+"))</f>
        <v>4+</v>
      </c>
      <c r="J237" s="113" t="str">
        <f t="shared" ref="J237:J244" si="83">CONCATENATE(VLOOKUP(CONCATENATE(VLOOKUP(A237,TEAMS,2,FALSE),TEXT($B237,"00")),PLAYERS,J$1,FALSE),"+")</f>
        <v>8+</v>
      </c>
      <c r="K237" s="115" t="str">
        <f t="shared" ref="K237:K244" si="84">VLOOKUP(CONCATENATE(VLOOKUP(A237,TEAMS,2,FALSE),TEXT($B237,"00")),PLAYERS,K$1,FALSE)</f>
        <v>Dodge, Right Stuff*, Stunty*</v>
      </c>
      <c r="L237" s="114" t="str">
        <f t="shared" ref="L237:L244" si="85">VLOOKUP(CONCATENATE(VLOOKUP(A237,TEAMS,2,FALSE),TEXT($B237,"00")),PLAYERS,L$1,FALSE)</f>
        <v>AM</v>
      </c>
      <c r="M237" s="114" t="str">
        <f t="shared" ref="M237:M244" si="86">VLOOKUP(CONCATENATE(VLOOKUP(A237,TEAMS,2,FALSE),TEXT($B237,"00")),PLAYERS,M$1,FALSE)</f>
        <v>GS</v>
      </c>
      <c r="N237" s="113" t="str">
        <f t="shared" ref="N237:N244" si="87">CONCATENATE(ABS(VLOOKUP(CONCATENATE(VLOOKUP(A237,TEAMS,2,FALSE),TEXT(B237,"00")),PLAYERS,5,FALSE)),"k")</f>
        <v>40k</v>
      </c>
    </row>
    <row r="238" spans="1:14" ht="30" x14ac:dyDescent="0.25">
      <c r="A238" s="6" t="s">
        <v>116</v>
      </c>
      <c r="B238" s="6">
        <v>2</v>
      </c>
      <c r="D238" s="114" t="str">
        <f t="shared" si="77"/>
        <v>0-6</v>
      </c>
      <c r="E238" s="115" t="str">
        <f t="shared" si="78"/>
        <v>Underworld Snotling</v>
      </c>
      <c r="F238" s="113">
        <f t="shared" si="79"/>
        <v>5</v>
      </c>
      <c r="G238" s="113">
        <f t="shared" si="80"/>
        <v>1</v>
      </c>
      <c r="H238" s="113" t="str">
        <f t="shared" si="81"/>
        <v>3+</v>
      </c>
      <c r="I238" s="113" t="str">
        <f t="shared" si="82"/>
        <v>5+</v>
      </c>
      <c r="J238" s="113" t="str">
        <f t="shared" si="83"/>
        <v>6+</v>
      </c>
      <c r="K238" s="115" t="str">
        <f t="shared" si="84"/>
        <v>Dodge, Right Stuff*, Sidestep, Stunty*, Swarming, Titchy*</v>
      </c>
      <c r="L238" s="114" t="str">
        <f t="shared" si="85"/>
        <v>AM</v>
      </c>
      <c r="M238" s="114" t="str">
        <f t="shared" si="86"/>
        <v>G</v>
      </c>
      <c r="N238" s="113" t="str">
        <f t="shared" si="87"/>
        <v>15k</v>
      </c>
    </row>
    <row r="239" spans="1:14" x14ac:dyDescent="0.25">
      <c r="A239" s="6" t="s">
        <v>116</v>
      </c>
      <c r="B239" s="6">
        <v>3</v>
      </c>
      <c r="D239" s="114" t="str">
        <f t="shared" si="77"/>
        <v>0-3</v>
      </c>
      <c r="E239" s="115" t="str">
        <f t="shared" si="78"/>
        <v>Underworld Clanrat</v>
      </c>
      <c r="F239" s="113">
        <f t="shared" si="79"/>
        <v>7</v>
      </c>
      <c r="G239" s="113">
        <f t="shared" si="80"/>
        <v>3</v>
      </c>
      <c r="H239" s="113" t="str">
        <f t="shared" si="81"/>
        <v>3+</v>
      </c>
      <c r="I239" s="113" t="str">
        <f t="shared" si="82"/>
        <v>4+</v>
      </c>
      <c r="J239" s="113" t="str">
        <f t="shared" si="83"/>
        <v>8+</v>
      </c>
      <c r="K239" s="115" t="str">
        <f t="shared" si="84"/>
        <v>Animosity (GO)*</v>
      </c>
      <c r="L239" s="114" t="str">
        <f t="shared" si="85"/>
        <v>GM</v>
      </c>
      <c r="M239" s="114" t="str">
        <f t="shared" si="86"/>
        <v>AS</v>
      </c>
      <c r="N239" s="113" t="str">
        <f t="shared" si="87"/>
        <v>50k</v>
      </c>
    </row>
    <row r="240" spans="1:14" ht="30" x14ac:dyDescent="0.25">
      <c r="A240" s="6" t="s">
        <v>116</v>
      </c>
      <c r="B240" s="6">
        <v>4</v>
      </c>
      <c r="D240" s="114" t="str">
        <f t="shared" si="77"/>
        <v>0-1</v>
      </c>
      <c r="E240" s="115" t="str">
        <f t="shared" si="78"/>
        <v>Underworld Skaven Thrower</v>
      </c>
      <c r="F240" s="113">
        <f t="shared" si="79"/>
        <v>7</v>
      </c>
      <c r="G240" s="113">
        <f t="shared" si="80"/>
        <v>3</v>
      </c>
      <c r="H240" s="113" t="str">
        <f t="shared" si="81"/>
        <v>3+</v>
      </c>
      <c r="I240" s="113" t="str">
        <f t="shared" si="82"/>
        <v>2+</v>
      </c>
      <c r="J240" s="113" t="str">
        <f t="shared" si="83"/>
        <v>8+</v>
      </c>
      <c r="K240" s="115" t="str">
        <f t="shared" si="84"/>
        <v>Animosity (GO)*, Pass, Sure Hands</v>
      </c>
      <c r="L240" s="114" t="str">
        <f t="shared" si="85"/>
        <v>GMP</v>
      </c>
      <c r="M240" s="114" t="str">
        <f t="shared" si="86"/>
        <v>AS</v>
      </c>
      <c r="N240" s="113" t="str">
        <f t="shared" si="87"/>
        <v>85k</v>
      </c>
    </row>
    <row r="241" spans="1:14" ht="30" x14ac:dyDescent="0.25">
      <c r="A241" s="6" t="s">
        <v>116</v>
      </c>
      <c r="B241" s="6">
        <v>5</v>
      </c>
      <c r="D241" s="114" t="str">
        <f t="shared" si="77"/>
        <v>0-1</v>
      </c>
      <c r="E241" s="115" t="str">
        <f t="shared" si="78"/>
        <v>Underworld Gutter Runner</v>
      </c>
      <c r="F241" s="113">
        <f t="shared" si="79"/>
        <v>9</v>
      </c>
      <c r="G241" s="113">
        <f t="shared" si="80"/>
        <v>2</v>
      </c>
      <c r="H241" s="113" t="str">
        <f t="shared" si="81"/>
        <v>2+</v>
      </c>
      <c r="I241" s="113" t="str">
        <f t="shared" si="82"/>
        <v>4+</v>
      </c>
      <c r="J241" s="113" t="str">
        <f t="shared" si="83"/>
        <v>8+</v>
      </c>
      <c r="K241" s="115" t="str">
        <f t="shared" si="84"/>
        <v>Animosity (GO)*, Dodge</v>
      </c>
      <c r="L241" s="114" t="str">
        <f t="shared" si="85"/>
        <v>AGM</v>
      </c>
      <c r="M241" s="114" t="str">
        <f t="shared" si="86"/>
        <v>PS</v>
      </c>
      <c r="N241" s="113" t="str">
        <f t="shared" si="87"/>
        <v>85k</v>
      </c>
    </row>
    <row r="242" spans="1:14" ht="30" x14ac:dyDescent="0.25">
      <c r="A242" s="6" t="s">
        <v>116</v>
      </c>
      <c r="B242" s="6">
        <v>6</v>
      </c>
      <c r="D242" s="114" t="str">
        <f t="shared" si="77"/>
        <v>0-1</v>
      </c>
      <c r="E242" s="115" t="str">
        <f t="shared" si="78"/>
        <v>Underworld Skaven Blitzer</v>
      </c>
      <c r="F242" s="113">
        <f t="shared" si="79"/>
        <v>7</v>
      </c>
      <c r="G242" s="113">
        <f t="shared" si="80"/>
        <v>3</v>
      </c>
      <c r="H242" s="113" t="str">
        <f t="shared" si="81"/>
        <v>3+</v>
      </c>
      <c r="I242" s="113" t="str">
        <f t="shared" si="82"/>
        <v>5+</v>
      </c>
      <c r="J242" s="113" t="str">
        <f t="shared" si="83"/>
        <v>9+</v>
      </c>
      <c r="K242" s="115" t="str">
        <f t="shared" si="84"/>
        <v>Animosity (GO)*, Block</v>
      </c>
      <c r="L242" s="114" t="str">
        <f t="shared" si="85"/>
        <v>GMS</v>
      </c>
      <c r="M242" s="114" t="str">
        <f t="shared" si="86"/>
        <v>AP</v>
      </c>
      <c r="N242" s="113" t="str">
        <f t="shared" si="87"/>
        <v>90k</v>
      </c>
    </row>
    <row r="243" spans="1:14" ht="45" x14ac:dyDescent="0.25">
      <c r="A243" s="6" t="s">
        <v>116</v>
      </c>
      <c r="B243" s="6">
        <v>7</v>
      </c>
      <c r="D243" s="114" t="str">
        <f t="shared" si="77"/>
        <v>0-1 *</v>
      </c>
      <c r="E243" s="115" t="str">
        <f t="shared" si="78"/>
        <v>Underworld Troll</v>
      </c>
      <c r="F243" s="113">
        <f t="shared" si="79"/>
        <v>4</v>
      </c>
      <c r="G243" s="113">
        <f t="shared" si="80"/>
        <v>5</v>
      </c>
      <c r="H243" s="113" t="str">
        <f t="shared" si="81"/>
        <v>5+</v>
      </c>
      <c r="I243" s="113" t="str">
        <f t="shared" si="82"/>
        <v>5+</v>
      </c>
      <c r="J243" s="113" t="str">
        <f t="shared" si="83"/>
        <v>10+</v>
      </c>
      <c r="K243" s="115" t="str">
        <f t="shared" si="84"/>
        <v>Always Hungry*, Loner (4+)*, Mighty Blow (+1), Projectile Vomit, Really Stupid*, Regeneration, Throw Team-mate</v>
      </c>
      <c r="L243" s="114" t="str">
        <f t="shared" si="85"/>
        <v>MS</v>
      </c>
      <c r="M243" s="114" t="str">
        <f t="shared" si="86"/>
        <v>AGP</v>
      </c>
      <c r="N243" s="113" t="str">
        <f t="shared" si="87"/>
        <v>115k</v>
      </c>
    </row>
    <row r="244" spans="1:14" ht="30" x14ac:dyDescent="0.25">
      <c r="A244" s="6" t="s">
        <v>116</v>
      </c>
      <c r="B244" s="6">
        <v>8</v>
      </c>
      <c r="D244" s="114" t="str">
        <f t="shared" si="77"/>
        <v>0-1 *</v>
      </c>
      <c r="E244" s="115" t="str">
        <f t="shared" si="78"/>
        <v>Mutant Rat Ogre</v>
      </c>
      <c r="F244" s="113">
        <f t="shared" si="79"/>
        <v>6</v>
      </c>
      <c r="G244" s="113">
        <f t="shared" si="80"/>
        <v>5</v>
      </c>
      <c r="H244" s="113" t="str">
        <f t="shared" si="81"/>
        <v>4+</v>
      </c>
      <c r="I244" s="113" t="str">
        <f t="shared" si="82"/>
        <v>-</v>
      </c>
      <c r="J244" s="113" t="str">
        <f t="shared" si="83"/>
        <v>9+</v>
      </c>
      <c r="K244" s="115" t="str">
        <f t="shared" si="84"/>
        <v>Animal Savagery*, Frenzy*, Loner (4+)*, Mighty Blow (+1), Prehensile Tail</v>
      </c>
      <c r="L244" s="114" t="str">
        <f t="shared" si="85"/>
        <v>MS</v>
      </c>
      <c r="M244" s="114" t="str">
        <f t="shared" si="86"/>
        <v>AG</v>
      </c>
      <c r="N244" s="113" t="str">
        <f t="shared" si="87"/>
        <v>150k</v>
      </c>
    </row>
    <row r="245" spans="1:14" x14ac:dyDescent="0.25">
      <c r="D245" s="64" t="s">
        <v>676</v>
      </c>
      <c r="E245" s="64" t="str">
        <f>CONCATENATE(VLOOKUP(A235,TEAMS,5,FALSE),"k")</f>
        <v>70k</v>
      </c>
      <c r="F245" s="466" t="s">
        <v>680</v>
      </c>
      <c r="G245" s="471"/>
      <c r="H245" s="471"/>
      <c r="I245" s="467"/>
      <c r="J245" s="113" t="str">
        <f>VLOOKUP(A235,TEAMS,6,FALSE)</f>
        <v>Yes</v>
      </c>
      <c r="K245" s="468" t="s">
        <v>681</v>
      </c>
      <c r="L245" s="469"/>
      <c r="M245" s="470"/>
      <c r="N245" s="116">
        <f>VLOOKUP(A235,TEAMS,8,FALSE)</f>
        <v>2</v>
      </c>
    </row>
    <row r="246" spans="1:14" ht="30" customHeight="1" x14ac:dyDescent="0.25">
      <c r="D246" s="466" t="s">
        <v>682</v>
      </c>
      <c r="E246" s="467"/>
      <c r="F246" s="462" t="str">
        <f>IFERROR(VLOOKUP(LEFT(VLOOKUP(A240,TEAMS,7,FALSE),3),SpecialRules,3,FALSE) &amp; VLOOKUP(MID(VLOOKUP(A240,TEAMS,7,FALSE),4,3),SpecialRules,3,FALSE),"")</f>
        <v>Once per game, when rolling on the Argue the Call table, you may re-roll a roll of a natural 1. Bribes are 50,000 gold pieces each.</v>
      </c>
      <c r="G246" s="462"/>
      <c r="H246" s="462"/>
      <c r="I246" s="462"/>
      <c r="J246" s="462"/>
      <c r="K246" s="462"/>
      <c r="L246" s="462"/>
      <c r="M246" s="462"/>
      <c r="N246" s="462"/>
    </row>
    <row r="247" spans="1:14" x14ac:dyDescent="0.25">
      <c r="D247" s="465" t="s">
        <v>684</v>
      </c>
      <c r="E247" s="465"/>
      <c r="F247" s="465"/>
      <c r="G247" s="465"/>
      <c r="H247" s="465"/>
      <c r="I247" s="465"/>
      <c r="J247" s="465"/>
      <c r="K247" s="465"/>
      <c r="L247" s="465"/>
      <c r="M247" s="465"/>
      <c r="N247" s="465"/>
    </row>
    <row r="248" spans="1:14" x14ac:dyDescent="0.25">
      <c r="D248" s="439"/>
      <c r="E248" s="439"/>
      <c r="F248" s="439"/>
      <c r="G248" s="439"/>
      <c r="H248" s="439"/>
      <c r="I248" s="439"/>
      <c r="J248" s="439"/>
      <c r="K248" s="439"/>
      <c r="L248" s="439"/>
      <c r="M248" s="439"/>
      <c r="N248" s="439"/>
    </row>
    <row r="249" spans="1:14" ht="21" x14ac:dyDescent="0.35">
      <c r="A249" s="6" t="s">
        <v>117</v>
      </c>
      <c r="B249" s="6">
        <v>5</v>
      </c>
      <c r="D249" s="472" t="str">
        <f>A249</f>
        <v>Wood Elf</v>
      </c>
      <c r="E249" s="473"/>
      <c r="F249" s="473"/>
      <c r="G249" s="473"/>
      <c r="H249" s="473"/>
      <c r="I249" s="473"/>
      <c r="J249" s="474"/>
      <c r="K249" s="472"/>
      <c r="L249" s="473"/>
      <c r="M249" s="473"/>
      <c r="N249" s="473"/>
    </row>
    <row r="250" spans="1:14" x14ac:dyDescent="0.25">
      <c r="A250" s="6" t="s">
        <v>117</v>
      </c>
      <c r="D250" s="64" t="s">
        <v>952</v>
      </c>
      <c r="E250" s="64" t="s">
        <v>4</v>
      </c>
      <c r="F250" s="113" t="s">
        <v>5</v>
      </c>
      <c r="G250" s="113" t="s">
        <v>6</v>
      </c>
      <c r="H250" s="113" t="s">
        <v>7</v>
      </c>
      <c r="I250" s="113" t="s">
        <v>8</v>
      </c>
      <c r="J250" s="113" t="s">
        <v>9</v>
      </c>
      <c r="K250" s="64" t="s">
        <v>662</v>
      </c>
      <c r="L250" s="64" t="s">
        <v>674</v>
      </c>
      <c r="M250" s="64" t="s">
        <v>675</v>
      </c>
      <c r="N250" s="116" t="s">
        <v>879</v>
      </c>
    </row>
    <row r="251" spans="1:14" x14ac:dyDescent="0.25">
      <c r="A251" s="6" t="s">
        <v>117</v>
      </c>
      <c r="B251" s="6">
        <v>1</v>
      </c>
      <c r="D251" s="114" t="str">
        <f>CONCATENATE("0-",VLOOKUP(CONCATENATE(VLOOKUP(A251,TEAMS,2,FALSE),TEXT(B251,"00")),PLAYERS,$D$1,FALSE),IF(VLOOKUP(CONCATENATE(VLOOKUP(A251,TEAMS,2,FALSE),TEXT(B251,"00")),PLAYERS,$D$1+1,FALSE)="BG"," *",""))</f>
        <v>0-12</v>
      </c>
      <c r="E251" s="115" t="str">
        <f>VLOOKUP(CONCATENATE(VLOOKUP(A251,TEAMS,2,FALSE),TEXT($B251,"00")),PLAYERS,E$1,FALSE)</f>
        <v>Wood Elf Lineman</v>
      </c>
      <c r="F251" s="113">
        <f>VLOOKUP(CONCATENATE(VLOOKUP(A251,TEAMS,2,FALSE),TEXT($B251,"00")),PLAYERS,F$1,FALSE)</f>
        <v>7</v>
      </c>
      <c r="G251" s="113">
        <f>VLOOKUP(CONCATENATE(VLOOKUP(A251,TEAMS,2,FALSE),TEXT($B251,"00")),PLAYERS,G$1,FALSE)</f>
        <v>3</v>
      </c>
      <c r="H251" s="113" t="str">
        <f>CONCATENATE(VLOOKUP(CONCATENATE(VLOOKUP(A251,TEAMS,2,FALSE),TEXT($B251,"00")),PLAYERS,H$1,FALSE),"+")</f>
        <v>2+</v>
      </c>
      <c r="I251" s="113" t="str">
        <f>CONCATENATE(VLOOKUP(CONCATENATE(VLOOKUP(A251,TEAMS,2,FALSE),TEXT($B251,"00")),PLAYERS,I$1,FALSE),IF(VLOOKUP(CONCATENATE(VLOOKUP(A251,TEAMS,2,FALSE),TEXT($B251,"00")),PLAYERS,I$1,FALSE)="-","","+"))</f>
        <v>4+</v>
      </c>
      <c r="J251" s="113" t="str">
        <f>CONCATENATE(VLOOKUP(CONCATENATE(VLOOKUP(A251,TEAMS,2,FALSE),TEXT($B251,"00")),PLAYERS,J$1,FALSE),"+")</f>
        <v>8+</v>
      </c>
      <c r="K251" s="115" t="str">
        <f>VLOOKUP(CONCATENATE(VLOOKUP(A251,TEAMS,2,FALSE),TEXT($B251,"00")),PLAYERS,K$1,FALSE)</f>
        <v>None</v>
      </c>
      <c r="L251" s="114" t="str">
        <f>VLOOKUP(CONCATENATE(VLOOKUP(A251,TEAMS,2,FALSE),TEXT($B251,"00")),PLAYERS,L$1,FALSE)</f>
        <v>AG</v>
      </c>
      <c r="M251" s="114" t="str">
        <f>VLOOKUP(CONCATENATE(VLOOKUP(A251,TEAMS,2,FALSE),TEXT($B251,"00")),PLAYERS,M$1,FALSE)</f>
        <v>S</v>
      </c>
      <c r="N251" s="113" t="str">
        <f>CONCATENATE(ABS(VLOOKUP(CONCATENATE(VLOOKUP(A251,TEAMS,2,FALSE),TEXT(B251,"00")),PLAYERS,5,FALSE)),"k")</f>
        <v>70k</v>
      </c>
    </row>
    <row r="252" spans="1:14" x14ac:dyDescent="0.25">
      <c r="A252" s="6" t="s">
        <v>117</v>
      </c>
      <c r="B252" s="6">
        <v>2</v>
      </c>
      <c r="D252" s="114" t="str">
        <f>CONCATENATE("0-",VLOOKUP(CONCATENATE(VLOOKUP(A252,TEAMS,2,FALSE),TEXT(B252,"00")),PLAYERS,$D$1,FALSE),IF(VLOOKUP(CONCATENATE(VLOOKUP(A252,TEAMS,2,FALSE),TEXT(B252,"00")),PLAYERS,$D$1+1,FALSE)="BG"," *",""))</f>
        <v>0-2</v>
      </c>
      <c r="E252" s="115" t="str">
        <f>VLOOKUP(CONCATENATE(VLOOKUP(A252,TEAMS,2,FALSE),TEXT($B252,"00")),PLAYERS,E$1,FALSE)</f>
        <v>Wood Elf Thrower</v>
      </c>
      <c r="F252" s="113">
        <f>VLOOKUP(CONCATENATE(VLOOKUP(A252,TEAMS,2,FALSE),TEXT($B252,"00")),PLAYERS,F$1,FALSE)</f>
        <v>7</v>
      </c>
      <c r="G252" s="113">
        <f>VLOOKUP(CONCATENATE(VLOOKUP(A252,TEAMS,2,FALSE),TEXT($B252,"00")),PLAYERS,G$1,FALSE)</f>
        <v>3</v>
      </c>
      <c r="H252" s="113" t="str">
        <f>CONCATENATE(VLOOKUP(CONCATENATE(VLOOKUP(A252,TEAMS,2,FALSE),TEXT($B252,"00")),PLAYERS,H$1,FALSE),"+")</f>
        <v>2+</v>
      </c>
      <c r="I252" s="113" t="str">
        <f>CONCATENATE(VLOOKUP(CONCATENATE(VLOOKUP(A252,TEAMS,2,FALSE),TEXT($B252,"00")),PLAYERS,I$1,FALSE),IF(VLOOKUP(CONCATENATE(VLOOKUP(A252,TEAMS,2,FALSE),TEXT($B252,"00")),PLAYERS,I$1,FALSE)="-","","+"))</f>
        <v>2+</v>
      </c>
      <c r="J252" s="113" t="str">
        <f>CONCATENATE(VLOOKUP(CONCATENATE(VLOOKUP(A252,TEAMS,2,FALSE),TEXT($B252,"00")),PLAYERS,J$1,FALSE),"+")</f>
        <v>8+</v>
      </c>
      <c r="K252" s="115" t="str">
        <f>VLOOKUP(CONCATENATE(VLOOKUP(A252,TEAMS,2,FALSE),TEXT($B252,"00")),PLAYERS,K$1,FALSE)</f>
        <v>Pass</v>
      </c>
      <c r="L252" s="114" t="str">
        <f>VLOOKUP(CONCATENATE(VLOOKUP(A252,TEAMS,2,FALSE),TEXT($B252,"00")),PLAYERS,L$1,FALSE)</f>
        <v>AGP</v>
      </c>
      <c r="M252" s="114" t="str">
        <f>VLOOKUP(CONCATENATE(VLOOKUP(A252,TEAMS,2,FALSE),TEXT($B252,"00")),PLAYERS,M$1,FALSE)</f>
        <v>S</v>
      </c>
      <c r="N252" s="113" t="str">
        <f>CONCATENATE(ABS(VLOOKUP(CONCATENATE(VLOOKUP(A252,TEAMS,2,FALSE),TEXT(B252,"00")),PLAYERS,5,FALSE)),"k")</f>
        <v>95k</v>
      </c>
    </row>
    <row r="253" spans="1:14" x14ac:dyDescent="0.25">
      <c r="A253" s="6" t="s">
        <v>117</v>
      </c>
      <c r="B253" s="6">
        <v>3</v>
      </c>
      <c r="D253" s="114" t="str">
        <f>CONCATENATE("0-",VLOOKUP(CONCATENATE(VLOOKUP(A253,TEAMS,2,FALSE),TEXT(B253,"00")),PLAYERS,$D$1,FALSE),IF(VLOOKUP(CONCATENATE(VLOOKUP(A253,TEAMS,2,FALSE),TEXT(B253,"00")),PLAYERS,$D$1+1,FALSE)="BG"," *",""))</f>
        <v>0-4</v>
      </c>
      <c r="E253" s="115" t="str">
        <f>VLOOKUP(CONCATENATE(VLOOKUP(A253,TEAMS,2,FALSE),TEXT($B253,"00")),PLAYERS,E$1,FALSE)</f>
        <v>Wood Elf Catcher</v>
      </c>
      <c r="F253" s="113">
        <f>VLOOKUP(CONCATENATE(VLOOKUP(A253,TEAMS,2,FALSE),TEXT($B253,"00")),PLAYERS,F$1,FALSE)</f>
        <v>8</v>
      </c>
      <c r="G253" s="113">
        <f>VLOOKUP(CONCATENATE(VLOOKUP(A253,TEAMS,2,FALSE),TEXT($B253,"00")),PLAYERS,G$1,FALSE)</f>
        <v>2</v>
      </c>
      <c r="H253" s="113" t="str">
        <f>CONCATENATE(VLOOKUP(CONCATENATE(VLOOKUP(A253,TEAMS,2,FALSE),TEXT($B253,"00")),PLAYERS,H$1,FALSE),"+")</f>
        <v>2+</v>
      </c>
      <c r="I253" s="113" t="str">
        <f>CONCATENATE(VLOOKUP(CONCATENATE(VLOOKUP(A253,TEAMS,2,FALSE),TEXT($B253,"00")),PLAYERS,I$1,FALSE),IF(VLOOKUP(CONCATENATE(VLOOKUP(A253,TEAMS,2,FALSE),TEXT($B253,"00")),PLAYERS,I$1,FALSE)="-","","+"))</f>
        <v>4+</v>
      </c>
      <c r="J253" s="113" t="str">
        <f>CONCATENATE(VLOOKUP(CONCATENATE(VLOOKUP(A253,TEAMS,2,FALSE),TEXT($B253,"00")),PLAYERS,J$1,FALSE),"+")</f>
        <v>8+</v>
      </c>
      <c r="K253" s="115" t="str">
        <f>VLOOKUP(CONCATENATE(VLOOKUP(A253,TEAMS,2,FALSE),TEXT($B253,"00")),PLAYERS,K$1,FALSE)</f>
        <v>Catch, Dodge</v>
      </c>
      <c r="L253" s="114" t="str">
        <f>VLOOKUP(CONCATENATE(VLOOKUP(A253,TEAMS,2,FALSE),TEXT($B253,"00")),PLAYERS,L$1,FALSE)</f>
        <v>AG</v>
      </c>
      <c r="M253" s="114" t="str">
        <f>VLOOKUP(CONCATENATE(VLOOKUP(A253,TEAMS,2,FALSE),TEXT($B253,"00")),PLAYERS,M$1,FALSE)</f>
        <v>PS</v>
      </c>
      <c r="N253" s="113" t="str">
        <f>CONCATENATE(ABS(VLOOKUP(CONCATENATE(VLOOKUP(A253,TEAMS,2,FALSE),TEXT(B253,"00")),PLAYERS,5,FALSE)),"k")</f>
        <v>90k</v>
      </c>
    </row>
    <row r="254" spans="1:14" x14ac:dyDescent="0.25">
      <c r="A254" s="6" t="s">
        <v>117</v>
      </c>
      <c r="B254" s="6">
        <v>4</v>
      </c>
      <c r="D254" s="114" t="str">
        <f>CONCATENATE("0-",VLOOKUP(CONCATENATE(VLOOKUP(A254,TEAMS,2,FALSE),TEXT(B254,"00")),PLAYERS,$D$1,FALSE),IF(VLOOKUP(CONCATENATE(VLOOKUP(A254,TEAMS,2,FALSE),TEXT(B254,"00")),PLAYERS,$D$1+1,FALSE)="BG"," *",""))</f>
        <v>0-2</v>
      </c>
      <c r="E254" s="115" t="str">
        <f>VLOOKUP(CONCATENATE(VLOOKUP(A254,TEAMS,2,FALSE),TEXT($B254,"00")),PLAYERS,E$1,FALSE)</f>
        <v>Wardancer</v>
      </c>
      <c r="F254" s="113">
        <f>VLOOKUP(CONCATENATE(VLOOKUP(A254,TEAMS,2,FALSE),TEXT($B254,"00")),PLAYERS,F$1,FALSE)</f>
        <v>8</v>
      </c>
      <c r="G254" s="113">
        <f>VLOOKUP(CONCATENATE(VLOOKUP(A254,TEAMS,2,FALSE),TEXT($B254,"00")),PLAYERS,G$1,FALSE)</f>
        <v>3</v>
      </c>
      <c r="H254" s="113" t="str">
        <f>CONCATENATE(VLOOKUP(CONCATENATE(VLOOKUP(A254,TEAMS,2,FALSE),TEXT($B254,"00")),PLAYERS,H$1,FALSE),"+")</f>
        <v>2+</v>
      </c>
      <c r="I254" s="113" t="str">
        <f>CONCATENATE(VLOOKUP(CONCATENATE(VLOOKUP(A254,TEAMS,2,FALSE),TEXT($B254,"00")),PLAYERS,I$1,FALSE),IF(VLOOKUP(CONCATENATE(VLOOKUP(A254,TEAMS,2,FALSE),TEXT($B254,"00")),PLAYERS,I$1,FALSE)="-","","+"))</f>
        <v>4+</v>
      </c>
      <c r="J254" s="113" t="str">
        <f>CONCATENATE(VLOOKUP(CONCATENATE(VLOOKUP(A254,TEAMS,2,FALSE),TEXT($B254,"00")),PLAYERS,J$1,FALSE),"+")</f>
        <v>8+</v>
      </c>
      <c r="K254" s="115" t="str">
        <f>VLOOKUP(CONCATENATE(VLOOKUP(A254,TEAMS,2,FALSE),TEXT($B254,"00")),PLAYERS,K$1,FALSE)</f>
        <v>Block, Dodge, Leap</v>
      </c>
      <c r="L254" s="114" t="str">
        <f>VLOOKUP(CONCATENATE(VLOOKUP(A254,TEAMS,2,FALSE),TEXT($B254,"00")),PLAYERS,L$1,FALSE)</f>
        <v>AG</v>
      </c>
      <c r="M254" s="114" t="str">
        <f>VLOOKUP(CONCATENATE(VLOOKUP(A254,TEAMS,2,FALSE),TEXT($B254,"00")),PLAYERS,M$1,FALSE)</f>
        <v>PS</v>
      </c>
      <c r="N254" s="113" t="str">
        <f>CONCATENATE(ABS(VLOOKUP(CONCATENATE(VLOOKUP(A254,TEAMS,2,FALSE),TEXT(B254,"00")),PLAYERS,5,FALSE)),"k")</f>
        <v>125k</v>
      </c>
    </row>
    <row r="255" spans="1:14" ht="30" x14ac:dyDescent="0.25">
      <c r="A255" s="6" t="s">
        <v>117</v>
      </c>
      <c r="B255" s="6">
        <v>5</v>
      </c>
      <c r="D255" s="114" t="str">
        <f>CONCATENATE("0-",VLOOKUP(CONCATENATE(VLOOKUP(A255,TEAMS,2,FALSE),TEXT(B255,"00")),PLAYERS,$D$1,FALSE),IF(VLOOKUP(CONCATENATE(VLOOKUP(A255,TEAMS,2,FALSE),TEXT(B255,"00")),PLAYERS,$D$1+1,FALSE)="BG"," *",""))</f>
        <v>0-1</v>
      </c>
      <c r="E255" s="115" t="str">
        <f>VLOOKUP(CONCATENATE(VLOOKUP(A255,TEAMS,2,FALSE),TEXT($B255,"00")),PLAYERS,E$1,FALSE)</f>
        <v>Loren Forest Treeman</v>
      </c>
      <c r="F255" s="113">
        <f>VLOOKUP(CONCATENATE(VLOOKUP(A255,TEAMS,2,FALSE),TEXT($B255,"00")),PLAYERS,F$1,FALSE)</f>
        <v>2</v>
      </c>
      <c r="G255" s="113">
        <f>VLOOKUP(CONCATENATE(VLOOKUP(A255,TEAMS,2,FALSE),TEXT($B255,"00")),PLAYERS,G$1,FALSE)</f>
        <v>6</v>
      </c>
      <c r="H255" s="113" t="str">
        <f>CONCATENATE(VLOOKUP(CONCATENATE(VLOOKUP(A255,TEAMS,2,FALSE),TEXT($B255,"00")),PLAYERS,H$1,FALSE),"+")</f>
        <v>5+</v>
      </c>
      <c r="I255" s="113" t="str">
        <f>CONCATENATE(VLOOKUP(CONCATENATE(VLOOKUP(A255,TEAMS,2,FALSE),TEXT($B255,"00")),PLAYERS,I$1,FALSE),IF(VLOOKUP(CONCATENATE(VLOOKUP(A255,TEAMS,2,FALSE),TEXT($B255,"00")),PLAYERS,I$1,FALSE)="-","","+"))</f>
        <v>5+</v>
      </c>
      <c r="J255" s="113" t="str">
        <f>CONCATENATE(VLOOKUP(CONCATENATE(VLOOKUP(A255,TEAMS,2,FALSE),TEXT($B255,"00")),PLAYERS,J$1,FALSE),"+")</f>
        <v>11+</v>
      </c>
      <c r="K255" s="115" t="str">
        <f>VLOOKUP(CONCATENATE(VLOOKUP(A255,TEAMS,2,FALSE),TEXT($B255,"00")),PLAYERS,K$1,FALSE)</f>
        <v>Loner (4+)*, Mighty Blow (+1), Stand Firm, Strong Arm, Take Root*, Thick Skull, Throw Team-mate</v>
      </c>
      <c r="L255" s="114" t="str">
        <f>VLOOKUP(CONCATENATE(VLOOKUP(A255,TEAMS,2,FALSE),TEXT($B255,"00")),PLAYERS,L$1,FALSE)</f>
        <v>S</v>
      </c>
      <c r="M255" s="114" t="str">
        <f>VLOOKUP(CONCATENATE(VLOOKUP(A255,TEAMS,2,FALSE),TEXT($B255,"00")),PLAYERS,M$1,FALSE)</f>
        <v>AG</v>
      </c>
      <c r="N255" s="113" t="str">
        <f>CONCATENATE(ABS(VLOOKUP(CONCATENATE(VLOOKUP(A255,TEAMS,2,FALSE),TEXT(B255,"00")),PLAYERS,5,FALSE)),"k")</f>
        <v>120k</v>
      </c>
    </row>
    <row r="256" spans="1:14" x14ac:dyDescent="0.25">
      <c r="D256" s="64" t="s">
        <v>676</v>
      </c>
      <c r="E256" s="64" t="str">
        <f>CONCATENATE(VLOOKUP(A249,TEAMS,5,FALSE),"k")</f>
        <v>50k</v>
      </c>
      <c r="F256" s="466" t="s">
        <v>680</v>
      </c>
      <c r="G256" s="471"/>
      <c r="H256" s="471"/>
      <c r="I256" s="467"/>
      <c r="J256" s="113" t="str">
        <f>VLOOKUP(A249,TEAMS,6,FALSE)</f>
        <v>Yes</v>
      </c>
      <c r="K256" s="468" t="s">
        <v>681</v>
      </c>
      <c r="L256" s="469"/>
      <c r="M256" s="470"/>
      <c r="N256" s="116">
        <f>VLOOKUP(A249,TEAMS,8,FALSE)</f>
        <v>1</v>
      </c>
    </row>
    <row r="257" spans="1:14" ht="15" customHeight="1" x14ac:dyDescent="0.25">
      <c r="D257" s="466" t="s">
        <v>682</v>
      </c>
      <c r="E257" s="467"/>
      <c r="F257" s="462" t="str">
        <f>IFERROR(VLOOKUP(LEFT(VLOOKUP(A251,TEAMS,7,FALSE),3),SpecialRules,3,FALSE) &amp; VLOOKUP(MID(VLOOKUP(A251,TEAMS,7,FALSE),4,3),SpecialRules,3,FALSE),"")</f>
        <v/>
      </c>
      <c r="G257" s="462"/>
      <c r="H257" s="462"/>
      <c r="I257" s="462"/>
      <c r="J257" s="462"/>
      <c r="K257" s="462"/>
      <c r="L257" s="462"/>
      <c r="M257" s="462"/>
      <c r="N257" s="462"/>
    </row>
    <row r="258" spans="1:14" x14ac:dyDescent="0.25">
      <c r="D258" s="465"/>
      <c r="E258" s="465"/>
      <c r="F258" s="465"/>
      <c r="G258" s="465"/>
      <c r="H258" s="465"/>
      <c r="I258" s="465"/>
      <c r="J258" s="465"/>
      <c r="K258" s="465"/>
      <c r="L258" s="465"/>
      <c r="M258" s="465"/>
      <c r="N258" s="465"/>
    </row>
    <row r="268" spans="1:14" ht="21" x14ac:dyDescent="0.35">
      <c r="A268" s="6" t="s">
        <v>95</v>
      </c>
      <c r="B268" s="6">
        <v>4</v>
      </c>
      <c r="D268" s="472" t="str">
        <f>A268</f>
        <v>Chaos Dwarf</v>
      </c>
      <c r="E268" s="473"/>
      <c r="F268" s="473"/>
      <c r="G268" s="473"/>
      <c r="H268" s="473"/>
      <c r="I268" s="473"/>
      <c r="J268" s="474"/>
      <c r="K268" s="476" t="s">
        <v>689</v>
      </c>
      <c r="L268" s="477"/>
      <c r="M268" s="477"/>
      <c r="N268" s="478"/>
    </row>
    <row r="269" spans="1:14" x14ac:dyDescent="0.25">
      <c r="A269" s="6" t="s">
        <v>95</v>
      </c>
      <c r="D269" s="64" t="s">
        <v>952</v>
      </c>
      <c r="E269" s="64" t="s">
        <v>4</v>
      </c>
      <c r="F269" s="113" t="s">
        <v>5</v>
      </c>
      <c r="G269" s="113" t="s">
        <v>6</v>
      </c>
      <c r="H269" s="113" t="s">
        <v>7</v>
      </c>
      <c r="I269" s="113" t="s">
        <v>8</v>
      </c>
      <c r="J269" s="113" t="s">
        <v>9</v>
      </c>
      <c r="K269" s="64" t="s">
        <v>662</v>
      </c>
      <c r="L269" s="64" t="s">
        <v>674</v>
      </c>
      <c r="M269" s="64" t="s">
        <v>675</v>
      </c>
      <c r="N269" s="116" t="s">
        <v>879</v>
      </c>
    </row>
    <row r="270" spans="1:14" x14ac:dyDescent="0.25">
      <c r="A270" s="6" t="s">
        <v>95</v>
      </c>
      <c r="B270" s="6">
        <v>1</v>
      </c>
      <c r="D270" s="114" t="str">
        <f>CONCATENATE("0-",VLOOKUP(CONCATENATE(VLOOKUP(A270,TEAMS,2,FALSE),TEXT(B270,"00")),PLAYERS,$D$1,FALSE),IF(VLOOKUP(CONCATENATE(VLOOKUP(A270,TEAMS,2,FALSE),TEXT(B270,"00")),PLAYERS,$D$1+1,FALSE)="BG"," *",""))</f>
        <v>0-16</v>
      </c>
      <c r="E270" s="115" t="str">
        <f>VLOOKUP(CONCATENATE(VLOOKUP(A270,TEAMS,2,FALSE),TEXT($B270,"00")),PLAYERS,E$1,FALSE)</f>
        <v>Hobgoblin Lineman</v>
      </c>
      <c r="F270" s="113">
        <f>VLOOKUP(CONCATENATE(VLOOKUP(A270,TEAMS,2,FALSE),TEXT($B270,"00")),PLAYERS,F$1,FALSE)</f>
        <v>6</v>
      </c>
      <c r="G270" s="113">
        <f>VLOOKUP(CONCATENATE(VLOOKUP(A270,TEAMS,2,FALSE),TEXT($B270,"00")),PLAYERS,G$1,FALSE)</f>
        <v>3</v>
      </c>
      <c r="H270" s="113" t="str">
        <f>CONCATENATE(VLOOKUP(CONCATENATE(VLOOKUP(A270,TEAMS,2,FALSE),TEXT($B270,"00")),PLAYERS,H$1,FALSE),"+")</f>
        <v>3+</v>
      </c>
      <c r="I270" s="113" t="str">
        <f>CONCATENATE(VLOOKUP(CONCATENATE(VLOOKUP(A270,TEAMS,2,FALSE),TEXT($B270,"00")),PLAYERS,I$1,FALSE),IF(VLOOKUP(CONCATENATE(VLOOKUP(A270,TEAMS,2,FALSE),TEXT($B270,"00")),PLAYERS,I$1,FALSE)="-","","+"))</f>
        <v>4+</v>
      </c>
      <c r="J270" s="113" t="str">
        <f>CONCATENATE(VLOOKUP(CONCATENATE(VLOOKUP(A270,TEAMS,2,FALSE),TEXT($B270,"00")),PLAYERS,J$1,FALSE),"+")</f>
        <v>8+</v>
      </c>
      <c r="K270" s="115" t="str">
        <f>VLOOKUP(CONCATENATE(VLOOKUP(A270,TEAMS,2,FALSE),TEXT($B270,"00")),PLAYERS,K$1,FALSE)</f>
        <v>None</v>
      </c>
      <c r="L270" s="114" t="str">
        <f>VLOOKUP(CONCATENATE(VLOOKUP(A270,TEAMS,2,FALSE),TEXT($B270,"00")),PLAYERS,L$1,FALSE)</f>
        <v>G</v>
      </c>
      <c r="M270" s="114" t="str">
        <f>VLOOKUP(CONCATENATE(VLOOKUP(A270,TEAMS,2,FALSE),TEXT($B270,"00")),PLAYERS,M$1,FALSE)</f>
        <v>AS</v>
      </c>
      <c r="N270" s="113" t="str">
        <f>CONCATENATE(ABS(VLOOKUP(CONCATENATE(VLOOKUP(A270,TEAMS,2,FALSE),TEXT(B270,"00")),PLAYERS,5,FALSE)),"k")</f>
        <v>40k</v>
      </c>
    </row>
    <row r="271" spans="1:14" x14ac:dyDescent="0.25">
      <c r="A271" s="6" t="s">
        <v>95</v>
      </c>
      <c r="B271" s="6">
        <v>2</v>
      </c>
      <c r="D271" s="114" t="str">
        <f>CONCATENATE("0-",VLOOKUP(CONCATENATE(VLOOKUP(A271,TEAMS,2,FALSE),TEXT(B271,"00")),PLAYERS,$D$1,FALSE),IF(VLOOKUP(CONCATENATE(VLOOKUP(A271,TEAMS,2,FALSE),TEXT(B271,"00")),PLAYERS,$D$1+1,FALSE)="BG"," *",""))</f>
        <v>0-6</v>
      </c>
      <c r="E271" s="115" t="str">
        <f>VLOOKUP(CONCATENATE(VLOOKUP(A271,TEAMS,2,FALSE),TEXT($B271,"00")),PLAYERS,E$1,FALSE)</f>
        <v>Chaos Dwarf Blocker</v>
      </c>
      <c r="F271" s="113">
        <f>VLOOKUP(CONCATENATE(VLOOKUP(A271,TEAMS,2,FALSE),TEXT($B271,"00")),PLAYERS,F$1,FALSE)</f>
        <v>4</v>
      </c>
      <c r="G271" s="113">
        <f>VLOOKUP(CONCATENATE(VLOOKUP(A271,TEAMS,2,FALSE),TEXT($B271,"00")),PLAYERS,G$1,FALSE)</f>
        <v>3</v>
      </c>
      <c r="H271" s="113" t="str">
        <f>CONCATENATE(VLOOKUP(CONCATENATE(VLOOKUP(A271,TEAMS,2,FALSE),TEXT($B271,"00")),PLAYERS,H$1,FALSE),"+")</f>
        <v>4+</v>
      </c>
      <c r="I271" s="113" t="str">
        <f>CONCATENATE(VLOOKUP(CONCATENATE(VLOOKUP(A271,TEAMS,2,FALSE),TEXT($B271,"00")),PLAYERS,I$1,FALSE),IF(VLOOKUP(CONCATENATE(VLOOKUP(A271,TEAMS,2,FALSE),TEXT($B271,"00")),PLAYERS,I$1,FALSE)="-","","+"))</f>
        <v>6+</v>
      </c>
      <c r="J271" s="113" t="str">
        <f>CONCATENATE(VLOOKUP(CONCATENATE(VLOOKUP(A271,TEAMS,2,FALSE),TEXT($B271,"00")),PLAYERS,J$1,FALSE),"+")</f>
        <v>10+</v>
      </c>
      <c r="K271" s="115" t="str">
        <f>VLOOKUP(CONCATENATE(VLOOKUP(A271,TEAMS,2,FALSE),TEXT($B271,"00")),PLAYERS,K$1,FALSE)</f>
        <v>Block, Tackle, Thick Skull</v>
      </c>
      <c r="L271" s="114" t="str">
        <f>VLOOKUP(CONCATENATE(VLOOKUP(A271,TEAMS,2,FALSE),TEXT($B271,"00")),PLAYERS,L$1,FALSE)</f>
        <v>GS</v>
      </c>
      <c r="M271" s="114" t="str">
        <f>VLOOKUP(CONCATENATE(VLOOKUP(A271,TEAMS,2,FALSE),TEXT($B271,"00")),PLAYERS,M$1,FALSE)</f>
        <v>AM</v>
      </c>
      <c r="N271" s="113" t="str">
        <f>CONCATENATE(ABS(VLOOKUP(CONCATENATE(VLOOKUP(A271,TEAMS,2,FALSE),TEXT(B271,"00")),PLAYERS,5,FALSE)),"k")</f>
        <v>70k</v>
      </c>
    </row>
    <row r="272" spans="1:14" x14ac:dyDescent="0.25">
      <c r="A272" s="6" t="s">
        <v>95</v>
      </c>
      <c r="B272" s="6">
        <v>3</v>
      </c>
      <c r="D272" s="114" t="str">
        <f>CONCATENATE("0-",VLOOKUP(CONCATENATE(VLOOKUP(A272,TEAMS,2,FALSE),TEXT(B272,"00")),PLAYERS,$D$1,FALSE),IF(VLOOKUP(CONCATENATE(VLOOKUP(A272,TEAMS,2,FALSE),TEXT(B272,"00")),PLAYERS,$D$1+1,FALSE)="BG"," *",""))</f>
        <v>0-2</v>
      </c>
      <c r="E272" s="115" t="str">
        <f>VLOOKUP(CONCATENATE(VLOOKUP(A272,TEAMS,2,FALSE),TEXT($B272,"00")),PLAYERS,E$1,FALSE)</f>
        <v>Bull Centaur Blitzer</v>
      </c>
      <c r="F272" s="113">
        <f>VLOOKUP(CONCATENATE(VLOOKUP(A272,TEAMS,2,FALSE),TEXT($B272,"00")),PLAYERS,F$1,FALSE)</f>
        <v>6</v>
      </c>
      <c r="G272" s="113">
        <f>VLOOKUP(CONCATENATE(VLOOKUP(A272,TEAMS,2,FALSE),TEXT($B272,"00")),PLAYERS,G$1,FALSE)</f>
        <v>4</v>
      </c>
      <c r="H272" s="113" t="str">
        <f>CONCATENATE(VLOOKUP(CONCATENATE(VLOOKUP(A272,TEAMS,2,FALSE),TEXT($B272,"00")),PLAYERS,H$1,FALSE),"+")</f>
        <v>4+</v>
      </c>
      <c r="I272" s="113" t="str">
        <f>CONCATENATE(VLOOKUP(CONCATENATE(VLOOKUP(A272,TEAMS,2,FALSE),TEXT($B272,"00")),PLAYERS,I$1,FALSE),IF(VLOOKUP(CONCATENATE(VLOOKUP(A272,TEAMS,2,FALSE),TEXT($B272,"00")),PLAYERS,I$1,FALSE)="-","","+"))</f>
        <v>6+</v>
      </c>
      <c r="J272" s="113" t="str">
        <f>CONCATENATE(VLOOKUP(CONCATENATE(VLOOKUP(A272,TEAMS,2,FALSE),TEXT($B272,"00")),PLAYERS,J$1,FALSE),"+")</f>
        <v>10+</v>
      </c>
      <c r="K272" s="115" t="str">
        <f>VLOOKUP(CONCATENATE(VLOOKUP(A272,TEAMS,2,FALSE),TEXT($B272,"00")),PLAYERS,K$1,FALSE)</f>
        <v>Sprint, Sure Feet, Thick Skull</v>
      </c>
      <c r="L272" s="114" t="str">
        <f>VLOOKUP(CONCATENATE(VLOOKUP(A272,TEAMS,2,FALSE),TEXT($B272,"00")),PLAYERS,L$1,FALSE)</f>
        <v>GS</v>
      </c>
      <c r="M272" s="114" t="str">
        <f>VLOOKUP(CONCATENATE(VLOOKUP(A272,TEAMS,2,FALSE),TEXT($B272,"00")),PLAYERS,M$1,FALSE)</f>
        <v>A</v>
      </c>
      <c r="N272" s="113" t="str">
        <f>CONCATENATE(ABS(VLOOKUP(CONCATENATE(VLOOKUP(A272,TEAMS,2,FALSE),TEXT(B272,"00")),PLAYERS,5,FALSE)),"k")</f>
        <v>130k</v>
      </c>
    </row>
    <row r="273" spans="1:14" ht="30" x14ac:dyDescent="0.25">
      <c r="A273" s="6" t="s">
        <v>95</v>
      </c>
      <c r="B273" s="6">
        <v>4</v>
      </c>
      <c r="D273" s="114" t="str">
        <f>CONCATENATE("0-",VLOOKUP(CONCATENATE(VLOOKUP(A273,TEAMS,2,FALSE),TEXT(B273,"00")),PLAYERS,$D$1,FALSE),IF(VLOOKUP(CONCATENATE(VLOOKUP(A273,TEAMS,2,FALSE),TEXT(B273,"00")),PLAYERS,$D$1+1,FALSE)="BG"," *",""))</f>
        <v>0-1</v>
      </c>
      <c r="E273" s="115" t="str">
        <f>VLOOKUP(CONCATENATE(VLOOKUP(A273,TEAMS,2,FALSE),TEXT($B273,"00")),PLAYERS,E$1,FALSE)</f>
        <v>Enslaved Minotaur</v>
      </c>
      <c r="F273" s="113">
        <f>VLOOKUP(CONCATENATE(VLOOKUP(A273,TEAMS,2,FALSE),TEXT($B273,"00")),PLAYERS,F$1,FALSE)</f>
        <v>5</v>
      </c>
      <c r="G273" s="113">
        <f>VLOOKUP(CONCATENATE(VLOOKUP(A273,TEAMS,2,FALSE),TEXT($B273,"00")),PLAYERS,G$1,FALSE)</f>
        <v>5</v>
      </c>
      <c r="H273" s="113" t="str">
        <f>CONCATENATE(VLOOKUP(CONCATENATE(VLOOKUP(A273,TEAMS,2,FALSE),TEXT($B273,"00")),PLAYERS,H$1,FALSE),"+")</f>
        <v>4+</v>
      </c>
      <c r="I273" s="113" t="str">
        <f>CONCATENATE(VLOOKUP(CONCATENATE(VLOOKUP(A273,TEAMS,2,FALSE),TEXT($B273,"00")),PLAYERS,I$1,FALSE),IF(VLOOKUP(CONCATENATE(VLOOKUP(A273,TEAMS,2,FALSE),TEXT($B273,"00")),PLAYERS,I$1,FALSE)="-","","+"))</f>
        <v>-</v>
      </c>
      <c r="J273" s="113" t="str">
        <f>CONCATENATE(VLOOKUP(CONCATENATE(VLOOKUP(A273,TEAMS,2,FALSE),TEXT($B273,"00")),PLAYERS,J$1,FALSE),"+")</f>
        <v>9+</v>
      </c>
      <c r="K273" s="115" t="str">
        <f>VLOOKUP(CONCATENATE(VLOOKUP(A273,TEAMS,2,FALSE),TEXT($B273,"00")),PLAYERS,K$1,FALSE)</f>
        <v>Animal Savagery*, Frenzy*, Horns, Loner (4+)*, Mighty Blow (+1), Thick Skull</v>
      </c>
      <c r="L273" s="114" t="str">
        <f>VLOOKUP(CONCATENATE(VLOOKUP(A273,TEAMS,2,FALSE),TEXT($B273,"00")),PLAYERS,L$1,FALSE)</f>
        <v>S</v>
      </c>
      <c r="M273" s="114" t="str">
        <f>VLOOKUP(CONCATENATE(VLOOKUP(A273,TEAMS,2,FALSE),TEXT($B273,"00")),PLAYERS,M$1,FALSE)</f>
        <v>AGM</v>
      </c>
      <c r="N273" s="113" t="str">
        <f>CONCATENATE(ABS(VLOOKUP(CONCATENATE(VLOOKUP(A273,TEAMS,2,FALSE),TEXT(B273,"00")),PLAYERS,5,FALSE)),"k")</f>
        <v>150k</v>
      </c>
    </row>
    <row r="274" spans="1:14" x14ac:dyDescent="0.25">
      <c r="D274" s="64" t="s">
        <v>676</v>
      </c>
      <c r="E274" s="64" t="str">
        <f>CONCATENATE(VLOOKUP(A268,TEAMS,5,FALSE),"k")</f>
        <v>70k</v>
      </c>
      <c r="F274" s="466" t="s">
        <v>680</v>
      </c>
      <c r="G274" s="471"/>
      <c r="H274" s="471"/>
      <c r="I274" s="467"/>
      <c r="J274" s="113" t="str">
        <f>VLOOKUP(A268,TEAMS,6,FALSE)</f>
        <v>Yes</v>
      </c>
      <c r="K274" s="468" t="s">
        <v>681</v>
      </c>
      <c r="L274" s="469"/>
      <c r="M274" s="470"/>
      <c r="N274" s="116">
        <f>VLOOKUP(A268,TEAMS,8,FALSE)</f>
        <v>1</v>
      </c>
    </row>
    <row r="275" spans="1:14" x14ac:dyDescent="0.25">
      <c r="D275" s="466" t="s">
        <v>682</v>
      </c>
      <c r="E275" s="467"/>
      <c r="F275" s="462" t="str">
        <f>IFERROR(VLOOKUP(LEFT(VLOOKUP(A269,TEAMS,7,FALSE),3),SpecialRules,3,FALSE) &amp; VLOOKUP(MID(VLOOKUP(A269,TEAMS,7,FALSE),4,3),SpecialRules,3,FALSE),"")</f>
        <v/>
      </c>
      <c r="G275" s="462"/>
      <c r="H275" s="462"/>
      <c r="I275" s="462"/>
      <c r="J275" s="462"/>
      <c r="K275" s="462"/>
      <c r="L275" s="462"/>
      <c r="M275" s="462"/>
      <c r="N275" s="462"/>
    </row>
    <row r="276" spans="1:14" x14ac:dyDescent="0.25">
      <c r="D276" s="465"/>
      <c r="E276" s="465"/>
      <c r="F276" s="465"/>
      <c r="G276" s="465"/>
      <c r="H276" s="465"/>
      <c r="I276" s="465"/>
      <c r="J276" s="465"/>
      <c r="K276" s="465"/>
      <c r="L276" s="465"/>
      <c r="M276" s="465"/>
      <c r="N276" s="465"/>
    </row>
    <row r="277" spans="1:14" ht="21" x14ac:dyDescent="0.35">
      <c r="A277" s="6" t="s">
        <v>101</v>
      </c>
      <c r="B277" s="6">
        <v>4</v>
      </c>
      <c r="D277" s="472" t="str">
        <f>A277</f>
        <v>High Elf</v>
      </c>
      <c r="E277" s="473"/>
      <c r="F277" s="473"/>
      <c r="G277" s="473"/>
      <c r="H277" s="473"/>
      <c r="I277" s="473"/>
      <c r="J277" s="474"/>
      <c r="K277" s="476" t="s">
        <v>689</v>
      </c>
      <c r="L277" s="477"/>
      <c r="M277" s="477"/>
      <c r="N277" s="478"/>
    </row>
    <row r="278" spans="1:14" x14ac:dyDescent="0.25">
      <c r="A278" s="6" t="s">
        <v>101</v>
      </c>
      <c r="D278" s="64" t="s">
        <v>952</v>
      </c>
      <c r="E278" s="64" t="s">
        <v>4</v>
      </c>
      <c r="F278" s="113" t="s">
        <v>5</v>
      </c>
      <c r="G278" s="113" t="s">
        <v>6</v>
      </c>
      <c r="H278" s="113" t="s">
        <v>7</v>
      </c>
      <c r="I278" s="113" t="s">
        <v>8</v>
      </c>
      <c r="J278" s="113" t="s">
        <v>9</v>
      </c>
      <c r="K278" s="64" t="s">
        <v>662</v>
      </c>
      <c r="L278" s="64" t="s">
        <v>674</v>
      </c>
      <c r="M278" s="64" t="s">
        <v>675</v>
      </c>
      <c r="N278" s="116" t="s">
        <v>879</v>
      </c>
    </row>
    <row r="279" spans="1:14" x14ac:dyDescent="0.25">
      <c r="A279" s="6" t="s">
        <v>101</v>
      </c>
      <c r="B279" s="6">
        <v>1</v>
      </c>
      <c r="D279" s="114" t="str">
        <f>CONCATENATE("0-",VLOOKUP(CONCATENATE(VLOOKUP(A279,TEAMS,2,FALSE),TEXT(B279,"00")),PLAYERS,$D$1,FALSE),IF(VLOOKUP(CONCATENATE(VLOOKUP(A279,TEAMS,2,FALSE),TEXT(B279,"00")),PLAYERS,$D$1+1,FALSE)="BG"," *",""))</f>
        <v>0-16</v>
      </c>
      <c r="E279" s="115" t="str">
        <f>VLOOKUP(CONCATENATE(VLOOKUP(A279,TEAMS,2,FALSE),TEXT($B279,"00")),PLAYERS,E$1,FALSE)</f>
        <v>High Elf Lineman</v>
      </c>
      <c r="F279" s="113">
        <f>VLOOKUP(CONCATENATE(VLOOKUP(A279,TEAMS,2,FALSE),TEXT($B279,"00")),PLAYERS,F$1,FALSE)</f>
        <v>6</v>
      </c>
      <c r="G279" s="113">
        <f>VLOOKUP(CONCATENATE(VLOOKUP(A279,TEAMS,2,FALSE),TEXT($B279,"00")),PLAYERS,G$1,FALSE)</f>
        <v>3</v>
      </c>
      <c r="H279" s="113" t="str">
        <f>CONCATENATE(VLOOKUP(CONCATENATE(VLOOKUP(A279,TEAMS,2,FALSE),TEXT($B279,"00")),PLAYERS,H$1,FALSE),"+")</f>
        <v>2+</v>
      </c>
      <c r="I279" s="113" t="str">
        <f>CONCATENATE(VLOOKUP(CONCATENATE(VLOOKUP(A279,TEAMS,2,FALSE),TEXT($B279,"00")),PLAYERS,I$1,FALSE),IF(VLOOKUP(CONCATENATE(VLOOKUP(A279,TEAMS,2,FALSE),TEXT($B279,"00")),PLAYERS,I$1,FALSE)="-","","+"))</f>
        <v>4+</v>
      </c>
      <c r="J279" s="113" t="str">
        <f>CONCATENATE(VLOOKUP(CONCATENATE(VLOOKUP(A279,TEAMS,2,FALSE),TEXT($B279,"00")),PLAYERS,J$1,FALSE),"+")</f>
        <v>9+</v>
      </c>
      <c r="K279" s="115" t="str">
        <f>VLOOKUP(CONCATENATE(VLOOKUP(A279,TEAMS,2,FALSE),TEXT($B279,"00")),PLAYERS,K$1,FALSE)</f>
        <v>None</v>
      </c>
      <c r="L279" s="114" t="str">
        <f>VLOOKUP(CONCATENATE(VLOOKUP(A279,TEAMS,2,FALSE),TEXT($B279,"00")),PLAYERS,L$1,FALSE)</f>
        <v>AG</v>
      </c>
      <c r="M279" s="114" t="str">
        <f>VLOOKUP(CONCATENATE(VLOOKUP(A279,TEAMS,2,FALSE),TEXT($B279,"00")),PLAYERS,M$1,FALSE)</f>
        <v>PS</v>
      </c>
      <c r="N279" s="113" t="str">
        <f>CONCATENATE(ABS(VLOOKUP(CONCATENATE(VLOOKUP(A279,TEAMS,2,FALSE),TEXT(B279,"00")),PLAYERS,5,FALSE)),"k")</f>
        <v>70k</v>
      </c>
    </row>
    <row r="280" spans="1:14" x14ac:dyDescent="0.25">
      <c r="A280" s="6" t="s">
        <v>101</v>
      </c>
      <c r="B280" s="6">
        <v>2</v>
      </c>
      <c r="D280" s="114" t="str">
        <f>CONCATENATE("0-",VLOOKUP(CONCATENATE(VLOOKUP(A280,TEAMS,2,FALSE),TEXT(B280,"00")),PLAYERS,$D$1,FALSE),IF(VLOOKUP(CONCATENATE(VLOOKUP(A280,TEAMS,2,FALSE),TEXT(B280,"00")),PLAYERS,$D$1+1,FALSE)="BG"," *",""))</f>
        <v>0-2</v>
      </c>
      <c r="E280" s="115" t="str">
        <f>VLOOKUP(CONCATENATE(VLOOKUP(A280,TEAMS,2,FALSE),TEXT($B280,"00")),PLAYERS,E$1,FALSE)</f>
        <v>High Elf Thrower</v>
      </c>
      <c r="F280" s="113">
        <f>VLOOKUP(CONCATENATE(VLOOKUP(A280,TEAMS,2,FALSE),TEXT($B280,"00")),PLAYERS,F$1,FALSE)</f>
        <v>6</v>
      </c>
      <c r="G280" s="113">
        <f>VLOOKUP(CONCATENATE(VLOOKUP(A280,TEAMS,2,FALSE),TEXT($B280,"00")),PLAYERS,G$1,FALSE)</f>
        <v>3</v>
      </c>
      <c r="H280" s="113" t="str">
        <f>CONCATENATE(VLOOKUP(CONCATENATE(VLOOKUP(A280,TEAMS,2,FALSE),TEXT($B280,"00")),PLAYERS,H$1,FALSE),"+")</f>
        <v>2+</v>
      </c>
      <c r="I280" s="113" t="str">
        <f>CONCATENATE(VLOOKUP(CONCATENATE(VLOOKUP(A280,TEAMS,2,FALSE),TEXT($B280,"00")),PLAYERS,I$1,FALSE),IF(VLOOKUP(CONCATENATE(VLOOKUP(A280,TEAMS,2,FALSE),TEXT($B280,"00")),PLAYERS,I$1,FALSE)="-","","+"))</f>
        <v>2+</v>
      </c>
      <c r="J280" s="113" t="str">
        <f>CONCATENATE(VLOOKUP(CONCATENATE(VLOOKUP(A280,TEAMS,2,FALSE),TEXT($B280,"00")),PLAYERS,J$1,FALSE),"+")</f>
        <v>9+</v>
      </c>
      <c r="K280" s="115" t="str">
        <f>VLOOKUP(CONCATENATE(VLOOKUP(A280,TEAMS,2,FALSE),TEXT($B280,"00")),PLAYERS,K$1,FALSE)</f>
        <v>Cloud Burster, Pass, Safe Pass</v>
      </c>
      <c r="L280" s="114" t="str">
        <f>VLOOKUP(CONCATENATE(VLOOKUP(A280,TEAMS,2,FALSE),TEXT($B280,"00")),PLAYERS,L$1,FALSE)</f>
        <v>AGP</v>
      </c>
      <c r="M280" s="114" t="str">
        <f>VLOOKUP(CONCATENATE(VLOOKUP(A280,TEAMS,2,FALSE),TEXT($B280,"00")),PLAYERS,M$1,FALSE)</f>
        <v>S</v>
      </c>
      <c r="N280" s="113" t="str">
        <f>CONCATENATE(ABS(VLOOKUP(CONCATENATE(VLOOKUP(A280,TEAMS,2,FALSE),TEXT(B280,"00")),PLAYERS,5,FALSE)),"k")</f>
        <v>100k</v>
      </c>
    </row>
    <row r="281" spans="1:14" x14ac:dyDescent="0.25">
      <c r="A281" s="6" t="s">
        <v>101</v>
      </c>
      <c r="B281" s="6">
        <v>3</v>
      </c>
      <c r="D281" s="114" t="str">
        <f>CONCATENATE("0-",VLOOKUP(CONCATENATE(VLOOKUP(A281,TEAMS,2,FALSE),TEXT(B281,"00")),PLAYERS,$D$1,FALSE),IF(VLOOKUP(CONCATENATE(VLOOKUP(A281,TEAMS,2,FALSE),TEXT(B281,"00")),PLAYERS,$D$1+1,FALSE)="BG"," *",""))</f>
        <v>0-4</v>
      </c>
      <c r="E281" s="115" t="str">
        <f>VLOOKUP(CONCATENATE(VLOOKUP(A281,TEAMS,2,FALSE),TEXT($B281,"00")),PLAYERS,E$1,FALSE)</f>
        <v>High Elf Catcher</v>
      </c>
      <c r="F281" s="113">
        <f>VLOOKUP(CONCATENATE(VLOOKUP(A281,TEAMS,2,FALSE),TEXT($B281,"00")),PLAYERS,F$1,FALSE)</f>
        <v>8</v>
      </c>
      <c r="G281" s="113">
        <f>VLOOKUP(CONCATENATE(VLOOKUP(A281,TEAMS,2,FALSE),TEXT($B281,"00")),PLAYERS,G$1,FALSE)</f>
        <v>3</v>
      </c>
      <c r="H281" s="113" t="str">
        <f>CONCATENATE(VLOOKUP(CONCATENATE(VLOOKUP(A281,TEAMS,2,FALSE),TEXT($B281,"00")),PLAYERS,H$1,FALSE),"+")</f>
        <v>2+</v>
      </c>
      <c r="I281" s="113" t="str">
        <f>CONCATENATE(VLOOKUP(CONCATENATE(VLOOKUP(A281,TEAMS,2,FALSE),TEXT($B281,"00")),PLAYERS,I$1,FALSE),IF(VLOOKUP(CONCATENATE(VLOOKUP(A281,TEAMS,2,FALSE),TEXT($B281,"00")),PLAYERS,I$1,FALSE)="-","","+"))</f>
        <v>5+</v>
      </c>
      <c r="J281" s="113" t="str">
        <f>CONCATENATE(VLOOKUP(CONCATENATE(VLOOKUP(A281,TEAMS,2,FALSE),TEXT($B281,"00")),PLAYERS,J$1,FALSE),"+")</f>
        <v>8+</v>
      </c>
      <c r="K281" s="115" t="str">
        <f>VLOOKUP(CONCATENATE(VLOOKUP(A281,TEAMS,2,FALSE),TEXT($B281,"00")),PLAYERS,K$1,FALSE)</f>
        <v>Catch</v>
      </c>
      <c r="L281" s="114" t="str">
        <f>VLOOKUP(CONCATENATE(VLOOKUP(A281,TEAMS,2,FALSE),TEXT($B281,"00")),PLAYERS,L$1,FALSE)</f>
        <v>AG</v>
      </c>
      <c r="M281" s="114" t="str">
        <f>VLOOKUP(CONCATENATE(VLOOKUP(A281,TEAMS,2,FALSE),TEXT($B281,"00")),PLAYERS,M$1,FALSE)</f>
        <v>S</v>
      </c>
      <c r="N281" s="113" t="str">
        <f>CONCATENATE(ABS(VLOOKUP(CONCATENATE(VLOOKUP(A281,TEAMS,2,FALSE),TEXT(B281,"00")),PLAYERS,5,FALSE)),"k")</f>
        <v>90k</v>
      </c>
    </row>
    <row r="282" spans="1:14" x14ac:dyDescent="0.25">
      <c r="A282" s="6" t="s">
        <v>101</v>
      </c>
      <c r="B282" s="6">
        <v>4</v>
      </c>
      <c r="D282" s="114" t="str">
        <f>CONCATENATE("0-",VLOOKUP(CONCATENATE(VLOOKUP(A282,TEAMS,2,FALSE),TEXT(B282,"00")),PLAYERS,$D$1,FALSE),IF(VLOOKUP(CONCATENATE(VLOOKUP(A282,TEAMS,2,FALSE),TEXT(B282,"00")),PLAYERS,$D$1+1,FALSE)="BG"," *",""))</f>
        <v>0-2</v>
      </c>
      <c r="E282" s="115" t="str">
        <f>VLOOKUP(CONCATENATE(VLOOKUP(A282,TEAMS,2,FALSE),TEXT($B282,"00")),PLAYERS,E$1,FALSE)</f>
        <v>High Elf Blitzer</v>
      </c>
      <c r="F282" s="113">
        <f>VLOOKUP(CONCATENATE(VLOOKUP(A282,TEAMS,2,FALSE),TEXT($B282,"00")),PLAYERS,F$1,FALSE)</f>
        <v>7</v>
      </c>
      <c r="G282" s="113">
        <f>VLOOKUP(CONCATENATE(VLOOKUP(A282,TEAMS,2,FALSE),TEXT($B282,"00")),PLAYERS,G$1,FALSE)</f>
        <v>3</v>
      </c>
      <c r="H282" s="113" t="str">
        <f>CONCATENATE(VLOOKUP(CONCATENATE(VLOOKUP(A282,TEAMS,2,FALSE),TEXT($B282,"00")),PLAYERS,H$1,FALSE),"+")</f>
        <v>2+</v>
      </c>
      <c r="I282" s="113" t="str">
        <f>CONCATENATE(VLOOKUP(CONCATENATE(VLOOKUP(A282,TEAMS,2,FALSE),TEXT($B282,"00")),PLAYERS,I$1,FALSE),IF(VLOOKUP(CONCATENATE(VLOOKUP(A282,TEAMS,2,FALSE),TEXT($B282,"00")),PLAYERS,I$1,FALSE)="-","","+"))</f>
        <v>4+</v>
      </c>
      <c r="J282" s="113" t="str">
        <f>CONCATENATE(VLOOKUP(CONCATENATE(VLOOKUP(A282,TEAMS,2,FALSE),TEXT($B282,"00")),PLAYERS,J$1,FALSE),"+")</f>
        <v>9+</v>
      </c>
      <c r="K282" s="115" t="str">
        <f>VLOOKUP(CONCATENATE(VLOOKUP(A282,TEAMS,2,FALSE),TEXT($B282,"00")),PLAYERS,K$1,FALSE)</f>
        <v>Block</v>
      </c>
      <c r="L282" s="114" t="str">
        <f>VLOOKUP(CONCATENATE(VLOOKUP(A282,TEAMS,2,FALSE),TEXT($B282,"00")),PLAYERS,L$1,FALSE)</f>
        <v>AG</v>
      </c>
      <c r="M282" s="114" t="str">
        <f>VLOOKUP(CONCATENATE(VLOOKUP(A282,TEAMS,2,FALSE),TEXT($B282,"00")),PLAYERS,M$1,FALSE)</f>
        <v>PS</v>
      </c>
      <c r="N282" s="113" t="str">
        <f>CONCATENATE(ABS(VLOOKUP(CONCATENATE(VLOOKUP(A282,TEAMS,2,FALSE),TEXT(B282,"00")),PLAYERS,5,FALSE)),"k")</f>
        <v>100k</v>
      </c>
    </row>
    <row r="283" spans="1:14" x14ac:dyDescent="0.25">
      <c r="D283" s="64" t="s">
        <v>676</v>
      </c>
      <c r="E283" s="64" t="str">
        <f>CONCATENATE(VLOOKUP(A277,TEAMS,5,FALSE),"k")</f>
        <v>50k</v>
      </c>
      <c r="F283" s="466" t="s">
        <v>680</v>
      </c>
      <c r="G283" s="471"/>
      <c r="H283" s="471"/>
      <c r="I283" s="467"/>
      <c r="J283" s="113" t="str">
        <f>VLOOKUP(A277,TEAMS,6,FALSE)</f>
        <v>Yes</v>
      </c>
      <c r="K283" s="468" t="s">
        <v>681</v>
      </c>
      <c r="L283" s="469"/>
      <c r="M283" s="470"/>
      <c r="N283" s="116">
        <f>VLOOKUP(A277,TEAMS,8,FALSE)</f>
        <v>2</v>
      </c>
    </row>
    <row r="284" spans="1:14" ht="15" customHeight="1" x14ac:dyDescent="0.25">
      <c r="D284" s="466" t="s">
        <v>682</v>
      </c>
      <c r="E284" s="467"/>
      <c r="F284" s="462" t="str">
        <f>IFERROR(VLOOKUP(LEFT(VLOOKUP(A278,TEAMS,7,FALSE),3),SpecialRules,3,FALSE) &amp; VLOOKUP(MID(VLOOKUP(A278,TEAMS,7,FALSE),4,3),SpecialRules,3,FALSE),"")</f>
        <v/>
      </c>
      <c r="G284" s="462"/>
      <c r="H284" s="462"/>
      <c r="I284" s="462"/>
      <c r="J284" s="462"/>
      <c r="K284" s="462"/>
      <c r="L284" s="462"/>
      <c r="M284" s="462"/>
      <c r="N284" s="462"/>
    </row>
    <row r="285" spans="1:14" x14ac:dyDescent="0.25">
      <c r="D285" s="465"/>
      <c r="E285" s="465"/>
      <c r="F285" s="465"/>
      <c r="G285" s="465"/>
      <c r="H285" s="465"/>
      <c r="I285" s="465"/>
      <c r="J285" s="465"/>
      <c r="K285" s="465"/>
      <c r="L285" s="465"/>
      <c r="M285" s="465"/>
      <c r="N285" s="465"/>
    </row>
    <row r="286" spans="1:14" ht="21" x14ac:dyDescent="0.35">
      <c r="A286" s="6" t="s">
        <v>825</v>
      </c>
      <c r="B286" s="6">
        <v>4</v>
      </c>
      <c r="D286" s="472" t="s">
        <v>825</v>
      </c>
      <c r="E286" s="473"/>
      <c r="F286" s="473"/>
      <c r="G286" s="473"/>
      <c r="H286" s="473"/>
      <c r="I286" s="473"/>
      <c r="J286" s="474"/>
      <c r="K286" s="476" t="s">
        <v>689</v>
      </c>
      <c r="L286" s="477"/>
      <c r="M286" s="477"/>
      <c r="N286" s="478"/>
    </row>
    <row r="287" spans="1:14" x14ac:dyDescent="0.25">
      <c r="A287" s="6" t="s">
        <v>825</v>
      </c>
      <c r="D287" s="64" t="s">
        <v>952</v>
      </c>
      <c r="E287" s="64" t="s">
        <v>4</v>
      </c>
      <c r="F287" s="113" t="s">
        <v>5</v>
      </c>
      <c r="G287" s="113" t="s">
        <v>6</v>
      </c>
      <c r="H287" s="113" t="s">
        <v>7</v>
      </c>
      <c r="I287" s="113" t="s">
        <v>8</v>
      </c>
      <c r="J287" s="113" t="s">
        <v>9</v>
      </c>
      <c r="K287" s="64" t="s">
        <v>662</v>
      </c>
      <c r="L287" s="64" t="s">
        <v>674</v>
      </c>
      <c r="M287" s="64" t="s">
        <v>675</v>
      </c>
      <c r="N287" s="116" t="s">
        <v>879</v>
      </c>
    </row>
    <row r="288" spans="1:14" x14ac:dyDescent="0.25">
      <c r="A288" s="6" t="s">
        <v>825</v>
      </c>
      <c r="B288" s="6">
        <v>1</v>
      </c>
      <c r="D288" s="114" t="str">
        <f>CONCATENATE("0-",VLOOKUP(CONCATENATE(VLOOKUP(A288,TEAMS,2,FALSE),TEXT(B288,"00")),PLAYERS,$D$1,FALSE),IF(VLOOKUP(CONCATENATE(VLOOKUP(A288,TEAMS,2,FALSE),TEXT(B288,"00")),PLAYERS,$D$1+1,FALSE)="BG"," *",""))</f>
        <v>0-16</v>
      </c>
      <c r="E288" s="115" t="str">
        <f>VLOOKUP(CONCATENATE(VLOOKUP(A288,TEAMS,2,FALSE),TEXT($B288,"00")),PLAYERS,E$1,FALSE)</f>
        <v>Skeleton Lineman</v>
      </c>
      <c r="F288" s="113">
        <f>VLOOKUP(CONCATENATE(VLOOKUP(A288,TEAMS,2,FALSE),TEXT($B288,"00")),PLAYERS,F$1,FALSE)</f>
        <v>5</v>
      </c>
      <c r="G288" s="113">
        <f>VLOOKUP(CONCATENATE(VLOOKUP(A288,TEAMS,2,FALSE),TEXT($B288,"00")),PLAYERS,G$1,FALSE)</f>
        <v>3</v>
      </c>
      <c r="H288" s="113" t="str">
        <f>CONCATENATE(VLOOKUP(CONCATENATE(VLOOKUP(A288,TEAMS,2,FALSE),TEXT($B288,"00")),PLAYERS,H$1,FALSE),"+")</f>
        <v>4+</v>
      </c>
      <c r="I288" s="113" t="str">
        <f>CONCATENATE(VLOOKUP(CONCATENATE(VLOOKUP(A288,TEAMS,2,FALSE),TEXT($B288,"00")),PLAYERS,I$1,FALSE),IF(VLOOKUP(CONCATENATE(VLOOKUP(A288,TEAMS,2,FALSE),TEXT($B288,"00")),PLAYERS,I$1,FALSE)="-","","+"))</f>
        <v>6+</v>
      </c>
      <c r="J288" s="113" t="str">
        <f>CONCATENATE(VLOOKUP(CONCATENATE(VLOOKUP(A288,TEAMS,2,FALSE),TEXT($B288,"00")),PLAYERS,J$1,FALSE),"+")</f>
        <v>8+</v>
      </c>
      <c r="K288" s="115" t="str">
        <f>VLOOKUP(CONCATENATE(VLOOKUP(A288,TEAMS,2,FALSE),TEXT($B288,"00")),PLAYERS,K$1,FALSE)</f>
        <v>Regeneration, Thick Skull</v>
      </c>
      <c r="L288" s="114" t="str">
        <f>VLOOKUP(CONCATENATE(VLOOKUP(A288,TEAMS,2,FALSE),TEXT($B288,"00")),PLAYERS,L$1,FALSE)</f>
        <v>G</v>
      </c>
      <c r="M288" s="114" t="str">
        <f>VLOOKUP(CONCATENATE(VLOOKUP(A288,TEAMS,2,FALSE),TEXT($B288,"00")),PLAYERS,M$1,FALSE)</f>
        <v>AS</v>
      </c>
      <c r="N288" s="113" t="str">
        <f>CONCATENATE(ABS(VLOOKUP(CONCATENATE(VLOOKUP(A288,TEAMS,2,FALSE),TEXT(B288,"00")),PLAYERS,5,FALSE)),"k")</f>
        <v>40k</v>
      </c>
    </row>
    <row r="289" spans="1:14" x14ac:dyDescent="0.25">
      <c r="A289" s="6" t="s">
        <v>825</v>
      </c>
      <c r="B289" s="6">
        <v>2</v>
      </c>
      <c r="D289" s="114" t="str">
        <f>CONCATENATE("0-",VLOOKUP(CONCATENATE(VLOOKUP(A289,TEAMS,2,FALSE),TEXT(B289,"00")),PLAYERS,$D$1,FALSE),IF(VLOOKUP(CONCATENATE(VLOOKUP(A289,TEAMS,2,FALSE),TEXT(B289,"00")),PLAYERS,$D$1+1,FALSE)="BG"," *",""))</f>
        <v>0-2</v>
      </c>
      <c r="E289" s="115" t="str">
        <f>VLOOKUP(CONCATENATE(VLOOKUP(A289,TEAMS,2,FALSE),TEXT($B289,"00")),PLAYERS,E$1,FALSE)</f>
        <v>Anointed Thrower</v>
      </c>
      <c r="F289" s="113">
        <f>VLOOKUP(CONCATENATE(VLOOKUP(A289,TEAMS,2,FALSE),TEXT($B289,"00")),PLAYERS,F$1,FALSE)</f>
        <v>6</v>
      </c>
      <c r="G289" s="113">
        <f>VLOOKUP(CONCATENATE(VLOOKUP(A289,TEAMS,2,FALSE),TEXT($B289,"00")),PLAYERS,G$1,FALSE)</f>
        <v>3</v>
      </c>
      <c r="H289" s="113" t="str">
        <f>CONCATENATE(VLOOKUP(CONCATENATE(VLOOKUP(A289,TEAMS,2,FALSE),TEXT($B289,"00")),PLAYERS,H$1,FALSE),"+")</f>
        <v>4+</v>
      </c>
      <c r="I289" s="113" t="str">
        <f>CONCATENATE(VLOOKUP(CONCATENATE(VLOOKUP(A289,TEAMS,2,FALSE),TEXT($B289,"00")),PLAYERS,I$1,FALSE),IF(VLOOKUP(CONCATENATE(VLOOKUP(A289,TEAMS,2,FALSE),TEXT($B289,"00")),PLAYERS,I$1,FALSE)="-","","+"))</f>
        <v>3+</v>
      </c>
      <c r="J289" s="113" t="str">
        <f>CONCATENATE(VLOOKUP(CONCATENATE(VLOOKUP(A289,TEAMS,2,FALSE),TEXT($B289,"00")),PLAYERS,J$1,FALSE),"+")</f>
        <v>8+</v>
      </c>
      <c r="K289" s="115" t="str">
        <f>VLOOKUP(CONCATENATE(VLOOKUP(A289,TEAMS,2,FALSE),TEXT($B289,"00")),PLAYERS,K$1,FALSE)</f>
        <v>Pass, Regeneration, Sure Hands, Thick Skull</v>
      </c>
      <c r="L289" s="114" t="str">
        <f>VLOOKUP(CONCATENATE(VLOOKUP(A289,TEAMS,2,FALSE),TEXT($B289,"00")),PLAYERS,L$1,FALSE)</f>
        <v>GP</v>
      </c>
      <c r="M289" s="114" t="str">
        <f>VLOOKUP(CONCATENATE(VLOOKUP(A289,TEAMS,2,FALSE),TEXT($B289,"00")),PLAYERS,M$1,FALSE)</f>
        <v>A</v>
      </c>
      <c r="N289" s="113" t="str">
        <f>CONCATENATE(ABS(VLOOKUP(CONCATENATE(VLOOKUP(A289,TEAMS,2,FALSE),TEXT(B289,"00")),PLAYERS,5,FALSE)),"k")</f>
        <v>70k</v>
      </c>
    </row>
    <row r="290" spans="1:14" x14ac:dyDescent="0.25">
      <c r="A290" s="6" t="s">
        <v>825</v>
      </c>
      <c r="B290" s="6">
        <v>3</v>
      </c>
      <c r="D290" s="114" t="str">
        <f>CONCATENATE("0-",VLOOKUP(CONCATENATE(VLOOKUP(A290,TEAMS,2,FALSE),TEXT(B290,"00")),PLAYERS,$D$1,FALSE),IF(VLOOKUP(CONCATENATE(VLOOKUP(A290,TEAMS,2,FALSE),TEXT(B290,"00")),PLAYERS,$D$1+1,FALSE)="BG"," *",""))</f>
        <v>0-2</v>
      </c>
      <c r="E290" s="115" t="str">
        <f>VLOOKUP(CONCATENATE(VLOOKUP(A290,TEAMS,2,FALSE),TEXT($B290,"00")),PLAYERS,E$1,FALSE)</f>
        <v>Anointed Blitzer</v>
      </c>
      <c r="F290" s="113">
        <f>VLOOKUP(CONCATENATE(VLOOKUP(A290,TEAMS,2,FALSE),TEXT($B290,"00")),PLAYERS,F$1,FALSE)</f>
        <v>6</v>
      </c>
      <c r="G290" s="113">
        <f>VLOOKUP(CONCATENATE(VLOOKUP(A290,TEAMS,2,FALSE),TEXT($B290,"00")),PLAYERS,G$1,FALSE)</f>
        <v>3</v>
      </c>
      <c r="H290" s="113" t="str">
        <f>CONCATENATE(VLOOKUP(CONCATENATE(VLOOKUP(A290,TEAMS,2,FALSE),TEXT($B290,"00")),PLAYERS,H$1,FALSE),"+")</f>
        <v>4+</v>
      </c>
      <c r="I290" s="113" t="str">
        <f>CONCATENATE(VLOOKUP(CONCATENATE(VLOOKUP(A290,TEAMS,2,FALSE),TEXT($B290,"00")),PLAYERS,I$1,FALSE),IF(VLOOKUP(CONCATENATE(VLOOKUP(A290,TEAMS,2,FALSE),TEXT($B290,"00")),PLAYERS,I$1,FALSE)="-","","+"))</f>
        <v>6+</v>
      </c>
      <c r="J290" s="113" t="str">
        <f>CONCATENATE(VLOOKUP(CONCATENATE(VLOOKUP(A290,TEAMS,2,FALSE),TEXT($B290,"00")),PLAYERS,J$1,FALSE),"+")</f>
        <v>9+</v>
      </c>
      <c r="K290" s="115" t="str">
        <f>VLOOKUP(CONCATENATE(VLOOKUP(A290,TEAMS,2,FALSE),TEXT($B290,"00")),PLAYERS,K$1,FALSE)</f>
        <v>Block, Regeneration, Thick Skull</v>
      </c>
      <c r="L290" s="114" t="str">
        <f>VLOOKUP(CONCATENATE(VLOOKUP(A290,TEAMS,2,FALSE),TEXT($B290,"00")),PLAYERS,L$1,FALSE)</f>
        <v>GS</v>
      </c>
      <c r="M290" s="114" t="str">
        <f>VLOOKUP(CONCATENATE(VLOOKUP(A290,TEAMS,2,FALSE),TEXT($B290,"00")),PLAYERS,M$1,FALSE)</f>
        <v>AP</v>
      </c>
      <c r="N290" s="113" t="str">
        <f>CONCATENATE(ABS(VLOOKUP(CONCATENATE(VLOOKUP(A290,TEAMS,2,FALSE),TEXT(B290,"00")),PLAYERS,5,FALSE)),"k")</f>
        <v>90k</v>
      </c>
    </row>
    <row r="291" spans="1:14" x14ac:dyDescent="0.25">
      <c r="A291" s="6" t="s">
        <v>825</v>
      </c>
      <c r="B291" s="6">
        <v>4</v>
      </c>
      <c r="D291" s="114" t="str">
        <f>CONCATENATE("0-",VLOOKUP(CONCATENATE(VLOOKUP(A291,TEAMS,2,FALSE),TEXT(B291,"00")),PLAYERS,$D$1,FALSE),IF(VLOOKUP(CONCATENATE(VLOOKUP(A291,TEAMS,2,FALSE),TEXT(B291,"00")),PLAYERS,$D$1+1,FALSE)="BG"," *",""))</f>
        <v>0-4</v>
      </c>
      <c r="E291" s="115" t="str">
        <f>VLOOKUP(CONCATENATE(VLOOKUP(A291,TEAMS,2,FALSE),TEXT($B291,"00")),PLAYERS,E$1,FALSE)</f>
        <v>Tomb Guardian</v>
      </c>
      <c r="F291" s="113">
        <f>VLOOKUP(CONCATENATE(VLOOKUP(A291,TEAMS,2,FALSE),TEXT($B291,"00")),PLAYERS,F$1,FALSE)</f>
        <v>4</v>
      </c>
      <c r="G291" s="113">
        <f>VLOOKUP(CONCATENATE(VLOOKUP(A291,TEAMS,2,FALSE),TEXT($B291,"00")),PLAYERS,G$1,FALSE)</f>
        <v>5</v>
      </c>
      <c r="H291" s="113" t="str">
        <f>CONCATENATE(VLOOKUP(CONCATENATE(VLOOKUP(A291,TEAMS,2,FALSE),TEXT($B291,"00")),PLAYERS,H$1,FALSE),"+")</f>
        <v>5+</v>
      </c>
      <c r="I291" s="113" t="str">
        <f>CONCATENATE(VLOOKUP(CONCATENATE(VLOOKUP(A291,TEAMS,2,FALSE),TEXT($B291,"00")),PLAYERS,I$1,FALSE),IF(VLOOKUP(CONCATENATE(VLOOKUP(A291,TEAMS,2,FALSE),TEXT($B291,"00")),PLAYERS,I$1,FALSE)="-","","+"))</f>
        <v>-</v>
      </c>
      <c r="J291" s="113" t="str">
        <f>CONCATENATE(VLOOKUP(CONCATENATE(VLOOKUP(A291,TEAMS,2,FALSE),TEXT($B291,"00")),PLAYERS,J$1,FALSE),"+")</f>
        <v>10+</v>
      </c>
      <c r="K291" s="115" t="str">
        <f>VLOOKUP(CONCATENATE(VLOOKUP(A291,TEAMS,2,FALSE),TEXT($B291,"00")),PLAYERS,K$1,FALSE)</f>
        <v>Decay*, Regeneration</v>
      </c>
      <c r="L291" s="114" t="str">
        <f>VLOOKUP(CONCATENATE(VLOOKUP(A291,TEAMS,2,FALSE),TEXT($B291,"00")),PLAYERS,L$1,FALSE)</f>
        <v>S</v>
      </c>
      <c r="M291" s="114" t="str">
        <f>VLOOKUP(CONCATENATE(VLOOKUP(A291,TEAMS,2,FALSE),TEXT($B291,"00")),PLAYERS,M$1,FALSE)</f>
        <v>AG</v>
      </c>
      <c r="N291" s="113" t="str">
        <f>CONCATENATE(ABS(VLOOKUP(CONCATENATE(VLOOKUP(A291,TEAMS,2,FALSE),TEXT(B291,"00")),PLAYERS,5,FALSE)),"k")</f>
        <v>100k</v>
      </c>
    </row>
    <row r="292" spans="1:14" x14ac:dyDescent="0.25">
      <c r="D292" s="64" t="s">
        <v>676</v>
      </c>
      <c r="E292" s="64" t="str">
        <f>CONCATENATE(VLOOKUP(A286,TEAMS,5,FALSE),"k")</f>
        <v>70k</v>
      </c>
      <c r="F292" s="466" t="s">
        <v>680</v>
      </c>
      <c r="G292" s="471"/>
      <c r="H292" s="471"/>
      <c r="I292" s="467"/>
      <c r="J292" s="113" t="str">
        <f>VLOOKUP(A286,TEAMS,6,FALSE)</f>
        <v>No</v>
      </c>
      <c r="K292" s="468" t="s">
        <v>681</v>
      </c>
      <c r="L292" s="469"/>
      <c r="M292" s="470"/>
      <c r="N292" s="116">
        <f>VLOOKUP(A286,TEAMS,8,FALSE)</f>
        <v>3</v>
      </c>
    </row>
    <row r="293" spans="1:14" ht="15" customHeight="1" x14ac:dyDescent="0.25">
      <c r="D293" s="466" t="s">
        <v>682</v>
      </c>
      <c r="E293" s="467"/>
      <c r="F293" s="462" t="str">
        <f>IFERROR(VLOOKUP(LEFT(VLOOKUP(A287,TEAMS,7,FALSE),3),SpecialRules,3,FALSE) &amp; VLOOKUP(MID(VLOOKUP(A287,TEAMS,7,FALSE),4,3),SpecialRules,3,FALSE),"")</f>
        <v/>
      </c>
      <c r="G293" s="462"/>
      <c r="H293" s="462"/>
      <c r="I293" s="462"/>
      <c r="J293" s="462"/>
      <c r="K293" s="462"/>
      <c r="L293" s="462"/>
      <c r="M293" s="462"/>
      <c r="N293" s="462"/>
    </row>
    <row r="294" spans="1:14" x14ac:dyDescent="0.25">
      <c r="D294" s="465"/>
      <c r="E294" s="465"/>
      <c r="F294" s="465"/>
      <c r="G294" s="465"/>
      <c r="H294" s="465"/>
      <c r="I294" s="465"/>
      <c r="J294" s="465"/>
      <c r="K294" s="465"/>
      <c r="L294" s="465"/>
      <c r="M294" s="465"/>
      <c r="N294" s="465"/>
    </row>
    <row r="295" spans="1:14" ht="21" x14ac:dyDescent="0.35">
      <c r="A295" s="6" t="s">
        <v>112</v>
      </c>
      <c r="B295" s="6">
        <v>2</v>
      </c>
      <c r="D295" s="472" t="str">
        <f>A295</f>
        <v>Vampire</v>
      </c>
      <c r="E295" s="473"/>
      <c r="F295" s="473"/>
      <c r="G295" s="473"/>
      <c r="H295" s="473"/>
      <c r="I295" s="473"/>
      <c r="J295" s="474"/>
      <c r="K295" s="476" t="s">
        <v>689</v>
      </c>
      <c r="L295" s="477"/>
      <c r="M295" s="477"/>
      <c r="N295" s="478"/>
    </row>
    <row r="296" spans="1:14" x14ac:dyDescent="0.25">
      <c r="A296" s="6" t="s">
        <v>112</v>
      </c>
      <c r="D296" s="64" t="s">
        <v>952</v>
      </c>
      <c r="E296" s="64" t="s">
        <v>4</v>
      </c>
      <c r="F296" s="113" t="s">
        <v>5</v>
      </c>
      <c r="G296" s="113" t="s">
        <v>6</v>
      </c>
      <c r="H296" s="113" t="s">
        <v>7</v>
      </c>
      <c r="I296" s="113" t="s">
        <v>8</v>
      </c>
      <c r="J296" s="113" t="s">
        <v>9</v>
      </c>
      <c r="K296" s="64" t="s">
        <v>662</v>
      </c>
      <c r="L296" s="64" t="s">
        <v>674</v>
      </c>
      <c r="M296" s="64" t="s">
        <v>675</v>
      </c>
      <c r="N296" s="116" t="s">
        <v>879</v>
      </c>
    </row>
    <row r="297" spans="1:14" x14ac:dyDescent="0.25">
      <c r="A297" s="6" t="s">
        <v>112</v>
      </c>
      <c r="B297" s="6">
        <v>1</v>
      </c>
      <c r="D297" s="114" t="str">
        <f>CONCATENATE("0-",VLOOKUP(CONCATENATE(VLOOKUP(A297,TEAMS,2,FALSE),TEXT(B297,"00")),PLAYERS,$D$1,FALSE),IF(VLOOKUP(CONCATENATE(VLOOKUP(A297,TEAMS,2,FALSE),TEXT(B297,"00")),PLAYERS,$D$1+1,FALSE)="BG"," *",""))</f>
        <v>0-12</v>
      </c>
      <c r="E297" s="115" t="str">
        <f>VLOOKUP(CONCATENATE(VLOOKUP(A297,TEAMS,2,FALSE),TEXT($B297,"00")),PLAYERS,E$1,FALSE)</f>
        <v>Thrall Lineman</v>
      </c>
      <c r="F297" s="113">
        <f>VLOOKUP(CONCATENATE(VLOOKUP(A297,TEAMS,2,FALSE),TEXT($B297,"00")),PLAYERS,F$1,FALSE)</f>
        <v>6</v>
      </c>
      <c r="G297" s="113">
        <f>VLOOKUP(CONCATENATE(VLOOKUP(A297,TEAMS,2,FALSE),TEXT($B297,"00")),PLAYERS,G$1,FALSE)</f>
        <v>3</v>
      </c>
      <c r="H297" s="113" t="str">
        <f>CONCATENATE(VLOOKUP(CONCATENATE(VLOOKUP(A297,TEAMS,2,FALSE),TEXT($B297,"00")),PLAYERS,H$1,FALSE),"+")</f>
        <v>3+</v>
      </c>
      <c r="I297" s="113" t="str">
        <f>CONCATENATE(VLOOKUP(CONCATENATE(VLOOKUP(A297,TEAMS,2,FALSE),TEXT($B297,"00")),PLAYERS,I$1,FALSE),IF(VLOOKUP(CONCATENATE(VLOOKUP(A297,TEAMS,2,FALSE),TEXT($B297,"00")),PLAYERS,I$1,FALSE)="-","","+"))</f>
        <v>5+</v>
      </c>
      <c r="J297" s="113" t="str">
        <f>CONCATENATE(VLOOKUP(CONCATENATE(VLOOKUP(A297,TEAMS,2,FALSE),TEXT($B297,"00")),PLAYERS,J$1,FALSE),"+")</f>
        <v>8+</v>
      </c>
      <c r="K297" s="115" t="str">
        <f>VLOOKUP(CONCATENATE(VLOOKUP(A297,TEAMS,2,FALSE),TEXT($B297,"00")),PLAYERS,K$1,FALSE)</f>
        <v>None</v>
      </c>
      <c r="L297" s="114" t="str">
        <f>VLOOKUP(CONCATENATE(VLOOKUP(A297,TEAMS,2,FALSE),TEXT($B297,"00")),PLAYERS,L$1,FALSE)</f>
        <v>G</v>
      </c>
      <c r="M297" s="114" t="str">
        <f>VLOOKUP(CONCATENATE(VLOOKUP(A297,TEAMS,2,FALSE),TEXT($B297,"00")),PLAYERS,M$1,FALSE)</f>
        <v>AS</v>
      </c>
      <c r="N297" s="113" t="str">
        <f>CONCATENATE(ABS(VLOOKUP(CONCATENATE(VLOOKUP(A297,TEAMS,2,FALSE),TEXT(B297,"00")),PLAYERS,5,FALSE)),"k")</f>
        <v>40k</v>
      </c>
    </row>
    <row r="298" spans="1:14" x14ac:dyDescent="0.25">
      <c r="A298" s="6" t="s">
        <v>112</v>
      </c>
      <c r="B298" s="6">
        <v>2</v>
      </c>
      <c r="D298" s="114" t="str">
        <f>CONCATENATE("0-",VLOOKUP(CONCATENATE(VLOOKUP(A298,TEAMS,2,FALSE),TEXT(B298,"00")),PLAYERS,$D$1,FALSE),IF(VLOOKUP(CONCATENATE(VLOOKUP(A298,TEAMS,2,FALSE),TEXT(B298,"00")),PLAYERS,$D$1+1,FALSE)="BG"," *",""))</f>
        <v>0-6</v>
      </c>
      <c r="E298" s="115" t="str">
        <f>VLOOKUP(CONCATENATE(VLOOKUP(A298,TEAMS,2,FALSE),TEXT($B298,"00")),PLAYERS,E$1,FALSE)</f>
        <v>Vampire Blitzer</v>
      </c>
      <c r="F298" s="113">
        <f>VLOOKUP(CONCATENATE(VLOOKUP(A298,TEAMS,2,FALSE),TEXT($B298,"00")),PLAYERS,F$1,FALSE)</f>
        <v>6</v>
      </c>
      <c r="G298" s="113">
        <f>VLOOKUP(CONCATENATE(VLOOKUP(A298,TEAMS,2,FALSE),TEXT($B298,"00")),PLAYERS,G$1,FALSE)</f>
        <v>4</v>
      </c>
      <c r="H298" s="113" t="str">
        <f>CONCATENATE(VLOOKUP(CONCATENATE(VLOOKUP(A298,TEAMS,2,FALSE),TEXT($B298,"00")),PLAYERS,H$1,FALSE),"+")</f>
        <v>2+</v>
      </c>
      <c r="I298" s="113" t="str">
        <f>CONCATENATE(VLOOKUP(CONCATENATE(VLOOKUP(A298,TEAMS,2,FALSE),TEXT($B298,"00")),PLAYERS,I$1,FALSE),IF(VLOOKUP(CONCATENATE(VLOOKUP(A298,TEAMS,2,FALSE),TEXT($B298,"00")),PLAYERS,I$1,FALSE)="-","","+"))</f>
        <v>3+</v>
      </c>
      <c r="J298" s="113" t="str">
        <f>CONCATENATE(VLOOKUP(CONCATENATE(VLOOKUP(A298,TEAMS,2,FALSE),TEXT($B298,"00")),PLAYERS,J$1,FALSE),"+")</f>
        <v>9+</v>
      </c>
      <c r="K298" s="115" t="str">
        <f>VLOOKUP(CONCATENATE(VLOOKUP(A298,TEAMS,2,FALSE),TEXT($B298,"00")),PLAYERS,K$1,FALSE)</f>
        <v>Animal Savagery*, Hypnotic Gaze, Regeneration</v>
      </c>
      <c r="L298" s="114" t="str">
        <f>VLOOKUP(CONCATENATE(VLOOKUP(A298,TEAMS,2,FALSE),TEXT($B298,"00")),PLAYERS,L$1,FALSE)</f>
        <v>AGS</v>
      </c>
      <c r="M298" s="114" t="str">
        <f>VLOOKUP(CONCATENATE(VLOOKUP(A298,TEAMS,2,FALSE),TEXT($B298,"00")),PLAYERS,M$1,FALSE)</f>
        <v>P</v>
      </c>
      <c r="N298" s="113" t="str">
        <f>CONCATENATE(ABS(VLOOKUP(CONCATENATE(VLOOKUP(A298,TEAMS,2,FALSE),TEXT(B298,"00")),PLAYERS,5,FALSE)),"k")</f>
        <v>110k</v>
      </c>
    </row>
    <row r="299" spans="1:14" x14ac:dyDescent="0.25">
      <c r="D299" s="64" t="s">
        <v>676</v>
      </c>
      <c r="E299" s="64" t="str">
        <f>CONCATENATE(VLOOKUP(A295,TEAMS,5,FALSE),"k")</f>
        <v>70k</v>
      </c>
      <c r="F299" s="466" t="s">
        <v>680</v>
      </c>
      <c r="G299" s="471"/>
      <c r="H299" s="471"/>
      <c r="I299" s="467"/>
      <c r="J299" s="113" t="str">
        <f>VLOOKUP(A295,TEAMS,6,FALSE)</f>
        <v>Yes</v>
      </c>
      <c r="K299" s="468" t="s">
        <v>681</v>
      </c>
      <c r="L299" s="469"/>
      <c r="M299" s="470"/>
      <c r="N299" s="116">
        <f>VLOOKUP(A295,TEAMS,8,FALSE)</f>
        <v>4</v>
      </c>
    </row>
    <row r="300" spans="1:14" ht="15" customHeight="1" x14ac:dyDescent="0.25">
      <c r="D300" s="466" t="s">
        <v>682</v>
      </c>
      <c r="E300" s="467"/>
      <c r="F300" s="462" t="str">
        <f>IFERROR(VLOOKUP(LEFT(VLOOKUP(#REF!,TEAMS,7,FALSE),3),SpecialRules,3,FALSE) &amp; VLOOKUP(MID(VLOOKUP(#REF!,TEAMS,7,FALSE),4,3),SpecialRules,3,FALSE),"")</f>
        <v/>
      </c>
      <c r="G300" s="462"/>
      <c r="H300" s="462"/>
      <c r="I300" s="462"/>
      <c r="J300" s="462"/>
      <c r="K300" s="462"/>
      <c r="L300" s="462"/>
      <c r="M300" s="462"/>
      <c r="N300" s="462"/>
    </row>
    <row r="301" spans="1:14" x14ac:dyDescent="0.25">
      <c r="D301" s="465"/>
      <c r="E301" s="465"/>
      <c r="F301" s="465"/>
      <c r="G301" s="465"/>
      <c r="H301" s="465"/>
      <c r="I301" s="465"/>
      <c r="J301" s="465"/>
      <c r="K301" s="465"/>
      <c r="L301" s="465"/>
      <c r="M301" s="465"/>
      <c r="N301" s="465"/>
    </row>
    <row r="302" spans="1:14" ht="21" x14ac:dyDescent="0.35">
      <c r="A302" s="6" t="s">
        <v>111</v>
      </c>
      <c r="B302" s="6">
        <v>4</v>
      </c>
      <c r="D302" s="472" t="str">
        <f>A302</f>
        <v>Slann</v>
      </c>
      <c r="E302" s="473"/>
      <c r="F302" s="473"/>
      <c r="G302" s="473"/>
      <c r="H302" s="473"/>
      <c r="I302" s="473"/>
      <c r="J302" s="474"/>
      <c r="K302" s="476" t="s">
        <v>690</v>
      </c>
      <c r="L302" s="477"/>
      <c r="M302" s="477"/>
      <c r="N302" s="478"/>
    </row>
    <row r="303" spans="1:14" x14ac:dyDescent="0.25">
      <c r="A303" s="6" t="s">
        <v>111</v>
      </c>
      <c r="D303" s="64" t="s">
        <v>952</v>
      </c>
      <c r="E303" s="64" t="s">
        <v>4</v>
      </c>
      <c r="F303" s="113" t="s">
        <v>5</v>
      </c>
      <c r="G303" s="113" t="s">
        <v>6</v>
      </c>
      <c r="H303" s="113" t="s">
        <v>7</v>
      </c>
      <c r="I303" s="113" t="s">
        <v>8</v>
      </c>
      <c r="J303" s="113" t="s">
        <v>9</v>
      </c>
      <c r="K303" s="64" t="s">
        <v>662</v>
      </c>
      <c r="L303" s="64" t="s">
        <v>674</v>
      </c>
      <c r="M303" s="64" t="s">
        <v>675</v>
      </c>
      <c r="N303" s="116" t="s">
        <v>879</v>
      </c>
    </row>
    <row r="304" spans="1:14" x14ac:dyDescent="0.25">
      <c r="A304" s="6" t="s">
        <v>111</v>
      </c>
      <c r="B304" s="6">
        <v>1</v>
      </c>
      <c r="D304" s="114" t="str">
        <f>CONCATENATE("0-",VLOOKUP(CONCATENATE(VLOOKUP(A304,TEAMS,2,FALSE),TEXT(B304,"00")),PLAYERS,$D$1,FALSE),IF(VLOOKUP(CONCATENATE(VLOOKUP(A304,TEAMS,2,FALSE),TEXT(B304,"00")),PLAYERS,$D$1+1,FALSE)="BG"," *",""))</f>
        <v>0-16</v>
      </c>
      <c r="E304" s="115" t="str">
        <f>VLOOKUP(CONCATENATE(VLOOKUP(A304,TEAMS,2,FALSE),TEXT($B304,"00")),PLAYERS,E$1,FALSE)</f>
        <v>Slann Lineman</v>
      </c>
      <c r="F304" s="113">
        <f>VLOOKUP(CONCATENATE(VLOOKUP(A304,TEAMS,2,FALSE),TEXT($B304,"00")),PLAYERS,F$1,FALSE)</f>
        <v>6</v>
      </c>
      <c r="G304" s="113">
        <f>VLOOKUP(CONCATENATE(VLOOKUP(A304,TEAMS,2,FALSE),TEXT($B304,"00")),PLAYERS,G$1,FALSE)</f>
        <v>3</v>
      </c>
      <c r="H304" s="113" t="str">
        <f>CONCATENATE(VLOOKUP(CONCATENATE(VLOOKUP(A304,TEAMS,2,FALSE),TEXT($B304,"00")),PLAYERS,H$1,FALSE),"+")</f>
        <v>3+</v>
      </c>
      <c r="I304" s="113" t="str">
        <f>CONCATENATE(VLOOKUP(CONCATENATE(VLOOKUP(A304,TEAMS,2,FALSE),TEXT($B304,"00")),PLAYERS,I$1,FALSE),IF(VLOOKUP(CONCATENATE(VLOOKUP(A304,TEAMS,2,FALSE),TEXT($B304,"00")),PLAYERS,I$1,FALSE)="-","","+"))</f>
        <v>4+</v>
      </c>
      <c r="J304" s="113" t="str">
        <f>CONCATENATE(VLOOKUP(CONCATENATE(VLOOKUP(A304,TEAMS,2,FALSE),TEXT($B304,"00")),PLAYERS,J$1,FALSE),"+")</f>
        <v>9+</v>
      </c>
      <c r="K304" s="115" t="str">
        <f>VLOOKUP(CONCATENATE(VLOOKUP(A304,TEAMS,2,FALSE),TEXT($B304,"00")),PLAYERS,K$1,FALSE)</f>
        <v>Pogo Stick, Very Long Legs</v>
      </c>
      <c r="L304" s="114" t="str">
        <f>VLOOKUP(CONCATENATE(VLOOKUP(A304,TEAMS,2,FALSE),TEXT($B304,"00")),PLAYERS,L$1,FALSE)</f>
        <v>G</v>
      </c>
      <c r="M304" s="114" t="str">
        <f>VLOOKUP(CONCATENATE(VLOOKUP(A304,TEAMS,2,FALSE),TEXT($B304,"00")),PLAYERS,M$1,FALSE)</f>
        <v>ASP</v>
      </c>
      <c r="N304" s="113" t="str">
        <f>CONCATENATE(ABS(VLOOKUP(CONCATENATE(VLOOKUP(A304,TEAMS,2,FALSE),TEXT(B304,"00")),PLAYERS,5,FALSE)),"k")</f>
        <v>60k</v>
      </c>
    </row>
    <row r="305" spans="1:14" x14ac:dyDescent="0.25">
      <c r="A305" s="6" t="s">
        <v>111</v>
      </c>
      <c r="B305" s="6">
        <v>2</v>
      </c>
      <c r="D305" s="114" t="str">
        <f>CONCATENATE("0-",VLOOKUP(CONCATENATE(VLOOKUP(A305,TEAMS,2,FALSE),TEXT(B305,"00")),PLAYERS,$D$1,FALSE),IF(VLOOKUP(CONCATENATE(VLOOKUP(A305,TEAMS,2,FALSE),TEXT(B305,"00")),PLAYERS,$D$1+1,FALSE)="BG"," *",""))</f>
        <v>0-4</v>
      </c>
      <c r="E305" s="115" t="str">
        <f>VLOOKUP(CONCATENATE(VLOOKUP(A305,TEAMS,2,FALSE),TEXT($B305,"00")),PLAYERS,E$1,FALSE)</f>
        <v>Slann Catcher</v>
      </c>
      <c r="F305" s="113">
        <f>VLOOKUP(CONCATENATE(VLOOKUP(A305,TEAMS,2,FALSE),TEXT($B305,"00")),PLAYERS,F$1,FALSE)</f>
        <v>7</v>
      </c>
      <c r="G305" s="113">
        <f>VLOOKUP(CONCATENATE(VLOOKUP(A305,TEAMS,2,FALSE),TEXT($B305,"00")),PLAYERS,G$1,FALSE)</f>
        <v>2</v>
      </c>
      <c r="H305" s="113" t="str">
        <f>CONCATENATE(VLOOKUP(CONCATENATE(VLOOKUP(A305,TEAMS,2,FALSE),TEXT($B305,"00")),PLAYERS,H$1,FALSE),"+")</f>
        <v>2+</v>
      </c>
      <c r="I305" s="113" t="str">
        <f>CONCATENATE(VLOOKUP(CONCATENATE(VLOOKUP(A305,TEAMS,2,FALSE),TEXT($B305,"00")),PLAYERS,I$1,FALSE),IF(VLOOKUP(CONCATENATE(VLOOKUP(A305,TEAMS,2,FALSE),TEXT($B305,"00")),PLAYERS,I$1,FALSE)="-","","+"))</f>
        <v>4+</v>
      </c>
      <c r="J305" s="113" t="str">
        <f>CONCATENATE(VLOOKUP(CONCATENATE(VLOOKUP(A305,TEAMS,2,FALSE),TEXT($B305,"00")),PLAYERS,J$1,FALSE),"+")</f>
        <v>8+</v>
      </c>
      <c r="K305" s="115" t="str">
        <f>VLOOKUP(CONCATENATE(VLOOKUP(A305,TEAMS,2,FALSE),TEXT($B305,"00")),PLAYERS,K$1,FALSE)</f>
        <v>Diving Catch, Pogo Stick, Very Long Legs</v>
      </c>
      <c r="L305" s="114" t="str">
        <f>VLOOKUP(CONCATENATE(VLOOKUP(A305,TEAMS,2,FALSE),TEXT($B305,"00")),PLAYERS,L$1,FALSE)</f>
        <v>AG</v>
      </c>
      <c r="M305" s="114" t="str">
        <f>VLOOKUP(CONCATENATE(VLOOKUP(A305,TEAMS,2,FALSE),TEXT($B305,"00")),PLAYERS,M$1,FALSE)</f>
        <v>PS</v>
      </c>
      <c r="N305" s="113" t="str">
        <f>CONCATENATE(ABS(VLOOKUP(CONCATENATE(VLOOKUP(A305,TEAMS,2,FALSE),TEXT(B305,"00")),PLAYERS,5,FALSE)),"k")</f>
        <v>80k</v>
      </c>
    </row>
    <row r="306" spans="1:14" ht="30" x14ac:dyDescent="0.25">
      <c r="A306" s="6" t="s">
        <v>111</v>
      </c>
      <c r="B306" s="6">
        <v>3</v>
      </c>
      <c r="D306" s="114" t="str">
        <f>CONCATENATE("0-",VLOOKUP(CONCATENATE(VLOOKUP(A306,TEAMS,2,FALSE),TEXT(B306,"00")),PLAYERS,$D$1,FALSE),IF(VLOOKUP(CONCATENATE(VLOOKUP(A306,TEAMS,2,FALSE),TEXT(B306,"00")),PLAYERS,$D$1+1,FALSE)="BG"," *",""))</f>
        <v>0-4</v>
      </c>
      <c r="E306" s="115" t="str">
        <f>VLOOKUP(CONCATENATE(VLOOKUP(A306,TEAMS,2,FALSE),TEXT($B306,"00")),PLAYERS,E$1,FALSE)</f>
        <v>Slann Blitzer</v>
      </c>
      <c r="F306" s="113">
        <f>VLOOKUP(CONCATENATE(VLOOKUP(A306,TEAMS,2,FALSE),TEXT($B306,"00")),PLAYERS,F$1,FALSE)</f>
        <v>7</v>
      </c>
      <c r="G306" s="113">
        <f>VLOOKUP(CONCATENATE(VLOOKUP(A306,TEAMS,2,FALSE),TEXT($B306,"00")),PLAYERS,G$1,FALSE)</f>
        <v>3</v>
      </c>
      <c r="H306" s="113" t="str">
        <f>CONCATENATE(VLOOKUP(CONCATENATE(VLOOKUP(A306,TEAMS,2,FALSE),TEXT($B306,"00")),PLAYERS,H$1,FALSE),"+")</f>
        <v>3+</v>
      </c>
      <c r="I306" s="113" t="str">
        <f>CONCATENATE(VLOOKUP(CONCATENATE(VLOOKUP(A306,TEAMS,2,FALSE),TEXT($B306,"00")),PLAYERS,I$1,FALSE),IF(VLOOKUP(CONCATENATE(VLOOKUP(A306,TEAMS,2,FALSE),TEXT($B306,"00")),PLAYERS,I$1,FALSE)="-","","+"))</f>
        <v>4+</v>
      </c>
      <c r="J306" s="113" t="str">
        <f>CONCATENATE(VLOOKUP(CONCATENATE(VLOOKUP(A306,TEAMS,2,FALSE),TEXT($B306,"00")),PLAYERS,J$1,FALSE),"+")</f>
        <v>9+</v>
      </c>
      <c r="K306" s="115" t="str">
        <f>VLOOKUP(CONCATENATE(VLOOKUP(A306,TEAMS,2,FALSE),TEXT($B306,"00")),PLAYERS,K$1,FALSE)</f>
        <v>Diving Tackle, Jump Up, Pogo Stick, Very Long Legs</v>
      </c>
      <c r="L306" s="114" t="str">
        <f>VLOOKUP(CONCATENATE(VLOOKUP(A306,TEAMS,2,FALSE),TEXT($B306,"00")),PLAYERS,L$1,FALSE)</f>
        <v>AGS</v>
      </c>
      <c r="M306" s="114" t="str">
        <f>VLOOKUP(CONCATENATE(VLOOKUP(A306,TEAMS,2,FALSE),TEXT($B306,"00")),PLAYERS,M$1,FALSE)</f>
        <v>P</v>
      </c>
      <c r="N306" s="113" t="str">
        <f>CONCATENATE(ABS(VLOOKUP(CONCATENATE(VLOOKUP(A306,TEAMS,2,FALSE),TEXT(B306,"00")),PLAYERS,5,FALSE)),"k")</f>
        <v>110k</v>
      </c>
    </row>
    <row r="307" spans="1:14" ht="30" x14ac:dyDescent="0.25">
      <c r="A307" s="6" t="s">
        <v>111</v>
      </c>
      <c r="B307" s="6">
        <v>4</v>
      </c>
      <c r="D307" s="114" t="str">
        <f>CONCATENATE("0-",VLOOKUP(CONCATENATE(VLOOKUP(A307,TEAMS,2,FALSE),TEXT(B307,"00")),PLAYERS,$D$1,FALSE),IF(VLOOKUP(CONCATENATE(VLOOKUP(A307,TEAMS,2,FALSE),TEXT(B307,"00")),PLAYERS,$D$1+1,FALSE)="BG"," *",""))</f>
        <v>0-1</v>
      </c>
      <c r="E307" s="115" t="str">
        <f>VLOOKUP(CONCATENATE(VLOOKUP(A307,TEAMS,2,FALSE),TEXT($B307,"00")),PLAYERS,E$1,FALSE)</f>
        <v>Kroxigor</v>
      </c>
      <c r="F307" s="113">
        <f>VLOOKUP(CONCATENATE(VLOOKUP(A307,TEAMS,2,FALSE),TEXT($B307,"00")),PLAYERS,F$1,FALSE)</f>
        <v>6</v>
      </c>
      <c r="G307" s="113">
        <f>VLOOKUP(CONCATENATE(VLOOKUP(A307,TEAMS,2,FALSE),TEXT($B307,"00")),PLAYERS,G$1,FALSE)</f>
        <v>5</v>
      </c>
      <c r="H307" s="113" t="str">
        <f>CONCATENATE(VLOOKUP(CONCATENATE(VLOOKUP(A307,TEAMS,2,FALSE),TEXT($B307,"00")),PLAYERS,H$1,FALSE),"+")</f>
        <v>5+</v>
      </c>
      <c r="I307" s="113" t="str">
        <f>CONCATENATE(VLOOKUP(CONCATENATE(VLOOKUP(A307,TEAMS,2,FALSE),TEXT($B307,"00")),PLAYERS,I$1,FALSE),IF(VLOOKUP(CONCATENATE(VLOOKUP(A307,TEAMS,2,FALSE),TEXT($B307,"00")),PLAYERS,I$1,FALSE)="-","","+"))</f>
        <v>-</v>
      </c>
      <c r="J307" s="113" t="str">
        <f>CONCATENATE(VLOOKUP(CONCATENATE(VLOOKUP(A307,TEAMS,2,FALSE),TEXT($B307,"00")),PLAYERS,J$1,FALSE),"+")</f>
        <v>10+</v>
      </c>
      <c r="K307" s="115" t="str">
        <f>VLOOKUP(CONCATENATE(VLOOKUP(A307,TEAMS,2,FALSE),TEXT($B307,"00")),PLAYERS,K$1,FALSE)</f>
        <v>Bone Head*, Loner (4+)*, Mighty Blow (+1), Prehensile Tail, Thick Skull</v>
      </c>
      <c r="L307" s="114" t="str">
        <f>VLOOKUP(CONCATENATE(VLOOKUP(A307,TEAMS,2,FALSE),TEXT($B307,"00")),PLAYERS,L$1,FALSE)</f>
        <v>S</v>
      </c>
      <c r="M307" s="114" t="str">
        <f>VLOOKUP(CONCATENATE(VLOOKUP(A307,TEAMS,2,FALSE),TEXT($B307,"00")),PLAYERS,M$1,FALSE)</f>
        <v>AG</v>
      </c>
      <c r="N307" s="113" t="str">
        <f>CONCATENATE(ABS(VLOOKUP(CONCATENATE(VLOOKUP(A307,TEAMS,2,FALSE),TEXT(B307,"00")),PLAYERS,5,FALSE)),"k")</f>
        <v>140k</v>
      </c>
    </row>
    <row r="308" spans="1:14" x14ac:dyDescent="0.25">
      <c r="D308" s="64" t="s">
        <v>676</v>
      </c>
      <c r="E308" s="64" t="str">
        <f>CONCATENATE(VLOOKUP(A304,TEAMS,5,FALSE),"k")</f>
        <v>50k</v>
      </c>
      <c r="F308" s="466" t="s">
        <v>680</v>
      </c>
      <c r="G308" s="471"/>
      <c r="H308" s="471"/>
      <c r="I308" s="467"/>
      <c r="J308" s="113" t="str">
        <f>VLOOKUP(A304,TEAMS,6,FALSE)</f>
        <v>Yes</v>
      </c>
      <c r="K308" s="468" t="s">
        <v>681</v>
      </c>
      <c r="L308" s="469"/>
      <c r="M308" s="470"/>
      <c r="N308" s="116">
        <f>VLOOKUP(A304,TEAMS,8,FALSE)</f>
        <v>2</v>
      </c>
    </row>
    <row r="309" spans="1:14" ht="15" customHeight="1" x14ac:dyDescent="0.25">
      <c r="D309" s="466" t="s">
        <v>682</v>
      </c>
      <c r="E309" s="467"/>
      <c r="F309" s="462" t="str">
        <f>IFERROR(VLOOKUP(LEFT(VLOOKUP(A303,TEAMS,7,FALSE),3),SpecialRules,3,FALSE) &amp; VLOOKUP(MID(VLOOKUP(A303,TEAMS,7,FALSE),4,3),SpecialRules,3,FALSE),"")</f>
        <v/>
      </c>
      <c r="G309" s="462"/>
      <c r="H309" s="462"/>
      <c r="I309" s="462"/>
      <c r="J309" s="462"/>
      <c r="K309" s="462"/>
      <c r="L309" s="462"/>
      <c r="M309" s="462"/>
      <c r="N309" s="462"/>
    </row>
    <row r="310" spans="1:14" x14ac:dyDescent="0.25">
      <c r="D310" s="465"/>
      <c r="E310" s="465"/>
      <c r="F310" s="465"/>
      <c r="G310" s="465"/>
      <c r="H310" s="465"/>
      <c r="I310" s="465"/>
      <c r="J310" s="465"/>
      <c r="K310" s="465"/>
      <c r="L310" s="465"/>
      <c r="M310" s="465"/>
      <c r="N310" s="465"/>
    </row>
  </sheetData>
  <sheetProtection sheet="1" objects="1" scenarios="1"/>
  <mergeCells count="184">
    <mergeCell ref="D310:N310"/>
    <mergeCell ref="D302:J302"/>
    <mergeCell ref="K302:N302"/>
    <mergeCell ref="D120:J120"/>
    <mergeCell ref="K120:N120"/>
    <mergeCell ref="F126:I126"/>
    <mergeCell ref="K126:M126"/>
    <mergeCell ref="D127:E127"/>
    <mergeCell ref="F127:N127"/>
    <mergeCell ref="F308:I308"/>
    <mergeCell ref="K308:M308"/>
    <mergeCell ref="F299:I299"/>
    <mergeCell ref="K299:M299"/>
    <mergeCell ref="D300:E300"/>
    <mergeCell ref="F300:N300"/>
    <mergeCell ref="D301:N301"/>
    <mergeCell ref="D295:J295"/>
    <mergeCell ref="K295:N295"/>
    <mergeCell ref="F292:I292"/>
    <mergeCell ref="K292:M292"/>
    <mergeCell ref="D293:E293"/>
    <mergeCell ref="F293:N293"/>
    <mergeCell ref="D294:N294"/>
    <mergeCell ref="D286:J286"/>
    <mergeCell ref="K286:N286"/>
    <mergeCell ref="D309:E309"/>
    <mergeCell ref="F309:N309"/>
    <mergeCell ref="D284:E284"/>
    <mergeCell ref="F284:N284"/>
    <mergeCell ref="D285:N285"/>
    <mergeCell ref="D277:J277"/>
    <mergeCell ref="K277:N277"/>
    <mergeCell ref="F274:I274"/>
    <mergeCell ref="K274:M274"/>
    <mergeCell ref="D275:E275"/>
    <mergeCell ref="F275:N275"/>
    <mergeCell ref="D276:N276"/>
    <mergeCell ref="D268:J268"/>
    <mergeCell ref="K268:N268"/>
    <mergeCell ref="F9:I9"/>
    <mergeCell ref="K9:M9"/>
    <mergeCell ref="D10:E10"/>
    <mergeCell ref="F10:N10"/>
    <mergeCell ref="D3:J3"/>
    <mergeCell ref="K3:N3"/>
    <mergeCell ref="F283:I283"/>
    <mergeCell ref="K283:M283"/>
    <mergeCell ref="D248:N248"/>
    <mergeCell ref="F256:I256"/>
    <mergeCell ref="K256:M256"/>
    <mergeCell ref="D257:E257"/>
    <mergeCell ref="F257:N257"/>
    <mergeCell ref="D258:N258"/>
    <mergeCell ref="F245:I245"/>
    <mergeCell ref="K245:M245"/>
    <mergeCell ref="D246:E246"/>
    <mergeCell ref="F246:N246"/>
    <mergeCell ref="D247:N247"/>
    <mergeCell ref="D249:J249"/>
    <mergeCell ref="K249:N249"/>
    <mergeCell ref="D235:N235"/>
    <mergeCell ref="F232:I232"/>
    <mergeCell ref="K232:M232"/>
    <mergeCell ref="D233:E233"/>
    <mergeCell ref="F233:N233"/>
    <mergeCell ref="D234:N234"/>
    <mergeCell ref="D224:N224"/>
    <mergeCell ref="F221:I221"/>
    <mergeCell ref="K221:M221"/>
    <mergeCell ref="D222:E222"/>
    <mergeCell ref="F222:N222"/>
    <mergeCell ref="D223:N223"/>
    <mergeCell ref="D214:N214"/>
    <mergeCell ref="F211:I211"/>
    <mergeCell ref="K211:M211"/>
    <mergeCell ref="D212:E212"/>
    <mergeCell ref="F212:N212"/>
    <mergeCell ref="D213:N213"/>
    <mergeCell ref="D204:N204"/>
    <mergeCell ref="D192:N192"/>
    <mergeCell ref="F201:I201"/>
    <mergeCell ref="K201:M201"/>
    <mergeCell ref="D202:E202"/>
    <mergeCell ref="F202:N202"/>
    <mergeCell ref="D203:N203"/>
    <mergeCell ref="D193:N193"/>
    <mergeCell ref="F189:I189"/>
    <mergeCell ref="K189:M189"/>
    <mergeCell ref="D190:E190"/>
    <mergeCell ref="F190:N190"/>
    <mergeCell ref="D191:N191"/>
    <mergeCell ref="D176:N176"/>
    <mergeCell ref="F173:I173"/>
    <mergeCell ref="K173:M173"/>
    <mergeCell ref="D174:E174"/>
    <mergeCell ref="F174:N174"/>
    <mergeCell ref="D175:N175"/>
    <mergeCell ref="D168:N168"/>
    <mergeCell ref="F165:I165"/>
    <mergeCell ref="K165:M165"/>
    <mergeCell ref="D166:E166"/>
    <mergeCell ref="F166:N166"/>
    <mergeCell ref="D167:N167"/>
    <mergeCell ref="D159:N159"/>
    <mergeCell ref="F145:I145"/>
    <mergeCell ref="K145:M145"/>
    <mergeCell ref="D146:E146"/>
    <mergeCell ref="F146:N146"/>
    <mergeCell ref="D158:N158"/>
    <mergeCell ref="F156:I156"/>
    <mergeCell ref="K156:M156"/>
    <mergeCell ref="D157:E157"/>
    <mergeCell ref="F157:N157"/>
    <mergeCell ref="D148:N148"/>
    <mergeCell ref="D138:N138"/>
    <mergeCell ref="F135:I135"/>
    <mergeCell ref="K135:M135"/>
    <mergeCell ref="D136:E136"/>
    <mergeCell ref="F136:N136"/>
    <mergeCell ref="D137:N137"/>
    <mergeCell ref="D129:N129"/>
    <mergeCell ref="F117:I117"/>
    <mergeCell ref="K117:M117"/>
    <mergeCell ref="D118:E118"/>
    <mergeCell ref="F118:N118"/>
    <mergeCell ref="D119:N119"/>
    <mergeCell ref="D110:N110"/>
    <mergeCell ref="F107:I107"/>
    <mergeCell ref="K107:M107"/>
    <mergeCell ref="D108:E108"/>
    <mergeCell ref="F108:N108"/>
    <mergeCell ref="D109:N109"/>
    <mergeCell ref="D99:N99"/>
    <mergeCell ref="F96:I96"/>
    <mergeCell ref="K96:M96"/>
    <mergeCell ref="D97:E97"/>
    <mergeCell ref="F97:N97"/>
    <mergeCell ref="D98:N98"/>
    <mergeCell ref="D90:N90"/>
    <mergeCell ref="F87:I87"/>
    <mergeCell ref="K87:M87"/>
    <mergeCell ref="D88:E88"/>
    <mergeCell ref="F88:N88"/>
    <mergeCell ref="D89:N89"/>
    <mergeCell ref="D77:N77"/>
    <mergeCell ref="F74:I74"/>
    <mergeCell ref="K74:M74"/>
    <mergeCell ref="D75:E75"/>
    <mergeCell ref="F75:N75"/>
    <mergeCell ref="D76:N76"/>
    <mergeCell ref="D68:N68"/>
    <mergeCell ref="D67:N67"/>
    <mergeCell ref="D58:N58"/>
    <mergeCell ref="F66:N66"/>
    <mergeCell ref="D66:E66"/>
    <mergeCell ref="K65:M65"/>
    <mergeCell ref="F65:I65"/>
    <mergeCell ref="D57:N57"/>
    <mergeCell ref="D48:N48"/>
    <mergeCell ref="D46:N46"/>
    <mergeCell ref="D32:N32"/>
    <mergeCell ref="D47:N47"/>
    <mergeCell ref="F55:I55"/>
    <mergeCell ref="K55:M55"/>
    <mergeCell ref="D56:E56"/>
    <mergeCell ref="F56:N56"/>
    <mergeCell ref="D30:N30"/>
    <mergeCell ref="D31:N31"/>
    <mergeCell ref="F44:I44"/>
    <mergeCell ref="K44:M44"/>
    <mergeCell ref="D45:E45"/>
    <mergeCell ref="F45:N45"/>
    <mergeCell ref="D12:N12"/>
    <mergeCell ref="D21:N21"/>
    <mergeCell ref="F28:I28"/>
    <mergeCell ref="K28:M28"/>
    <mergeCell ref="D29:E29"/>
    <mergeCell ref="F29:N29"/>
    <mergeCell ref="D20:N20"/>
    <mergeCell ref="D19:N19"/>
    <mergeCell ref="F17:I17"/>
    <mergeCell ref="K17:M17"/>
    <mergeCell ref="D18:E18"/>
    <mergeCell ref="F18:N18"/>
  </mergeCells>
  <pageMargins left="0.7" right="0.7" top="0.78740157499999996" bottom="0.78740157499999996"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7"/>
  <dimension ref="A1:R106"/>
  <sheetViews>
    <sheetView showRowColHeaders="0" workbookViewId="0"/>
  </sheetViews>
  <sheetFormatPr defaultColWidth="11.42578125" defaultRowHeight="15" x14ac:dyDescent="0.25"/>
  <cols>
    <col min="1" max="1" width="5.5703125" style="6" customWidth="1"/>
    <col min="2" max="6" width="20.7109375" customWidth="1"/>
    <col min="7" max="7" width="5.85546875" style="6" customWidth="1"/>
    <col min="8" max="10" width="16" customWidth="1"/>
    <col min="11" max="11" width="17" customWidth="1"/>
    <col min="12" max="14" width="17.7109375" style="6" customWidth="1"/>
    <col min="15" max="18" width="11.42578125" style="6"/>
  </cols>
  <sheetData>
    <row r="1" spans="2:11" s="6" customFormat="1" ht="15.75" thickBot="1" x14ac:dyDescent="0.3"/>
    <row r="2" spans="2:11" ht="32.25" customHeight="1" thickBot="1" x14ac:dyDescent="0.3">
      <c r="B2" s="482" t="s">
        <v>662</v>
      </c>
      <c r="C2" s="483"/>
      <c r="D2" s="483"/>
      <c r="E2" s="483"/>
      <c r="F2" s="484"/>
      <c r="H2" s="479" t="s">
        <v>636</v>
      </c>
      <c r="I2" s="480"/>
      <c r="J2" s="480"/>
      <c r="K2" s="481"/>
    </row>
    <row r="3" spans="2:11" ht="15.75" thickBot="1" x14ac:dyDescent="0.3">
      <c r="B3" s="485" t="s">
        <v>625</v>
      </c>
      <c r="C3" s="486"/>
      <c r="D3" s="486"/>
      <c r="E3" s="486"/>
      <c r="F3" s="487"/>
      <c r="H3" s="100" t="s">
        <v>637</v>
      </c>
      <c r="I3" s="101" t="s">
        <v>638</v>
      </c>
      <c r="J3" s="101" t="s">
        <v>639</v>
      </c>
      <c r="K3" s="102" t="s">
        <v>640</v>
      </c>
    </row>
    <row r="4" spans="2:11" ht="15.75" thickBot="1" x14ac:dyDescent="0.3">
      <c r="B4" s="233" t="s">
        <v>626</v>
      </c>
      <c r="C4" s="233" t="s">
        <v>627</v>
      </c>
      <c r="D4" s="233" t="s">
        <v>628</v>
      </c>
      <c r="E4" s="233" t="s">
        <v>629</v>
      </c>
      <c r="F4" s="233" t="s">
        <v>630</v>
      </c>
      <c r="H4" s="95" t="s">
        <v>641</v>
      </c>
      <c r="I4" s="91" t="s">
        <v>642</v>
      </c>
      <c r="J4" s="91" t="s">
        <v>643</v>
      </c>
      <c r="K4" s="93" t="s">
        <v>644</v>
      </c>
    </row>
    <row r="5" spans="2:11" x14ac:dyDescent="0.25">
      <c r="B5" s="231" t="s">
        <v>33</v>
      </c>
      <c r="C5" s="232" t="s">
        <v>45</v>
      </c>
      <c r="D5" s="231" t="s">
        <v>57</v>
      </c>
      <c r="E5" s="231" t="s">
        <v>68</v>
      </c>
      <c r="F5" s="231" t="s">
        <v>80</v>
      </c>
      <c r="H5" s="96" t="s">
        <v>645</v>
      </c>
      <c r="I5" s="92" t="s">
        <v>646</v>
      </c>
      <c r="J5" s="92" t="s">
        <v>356</v>
      </c>
      <c r="K5" s="94" t="s">
        <v>647</v>
      </c>
    </row>
    <row r="6" spans="2:11" x14ac:dyDescent="0.25">
      <c r="B6" s="104" t="s">
        <v>34</v>
      </c>
      <c r="C6" s="104" t="s">
        <v>46</v>
      </c>
      <c r="D6" s="104" t="s">
        <v>58</v>
      </c>
      <c r="E6" s="104" t="s">
        <v>69</v>
      </c>
      <c r="F6" s="104" t="s">
        <v>81</v>
      </c>
      <c r="H6" s="95" t="s">
        <v>648</v>
      </c>
      <c r="I6" s="91" t="s">
        <v>649</v>
      </c>
      <c r="J6" s="91" t="s">
        <v>650</v>
      </c>
      <c r="K6" s="93" t="s">
        <v>651</v>
      </c>
    </row>
    <row r="7" spans="2:11" x14ac:dyDescent="0.25">
      <c r="B7" s="103" t="s">
        <v>35</v>
      </c>
      <c r="C7" s="103" t="s">
        <v>47</v>
      </c>
      <c r="D7" s="103" t="s">
        <v>631</v>
      </c>
      <c r="E7" s="103" t="s">
        <v>632</v>
      </c>
      <c r="F7" s="103" t="s">
        <v>82</v>
      </c>
      <c r="H7" s="96" t="s">
        <v>652</v>
      </c>
      <c r="I7" s="92" t="s">
        <v>653</v>
      </c>
      <c r="J7" s="92" t="s">
        <v>654</v>
      </c>
      <c r="K7" s="94" t="s">
        <v>655</v>
      </c>
    </row>
    <row r="8" spans="2:11" x14ac:dyDescent="0.25">
      <c r="B8" s="105" t="s">
        <v>36</v>
      </c>
      <c r="C8" s="104" t="s">
        <v>48</v>
      </c>
      <c r="D8" s="104" t="s">
        <v>60</v>
      </c>
      <c r="E8" s="104" t="s">
        <v>71</v>
      </c>
      <c r="F8" s="104" t="s">
        <v>83</v>
      </c>
      <c r="H8" s="95" t="s">
        <v>656</v>
      </c>
      <c r="I8" s="91" t="s">
        <v>713</v>
      </c>
      <c r="J8" s="91" t="s">
        <v>657</v>
      </c>
      <c r="K8" s="93" t="s">
        <v>658</v>
      </c>
    </row>
    <row r="9" spans="2:11" ht="15.75" thickBot="1" x14ac:dyDescent="0.3">
      <c r="B9" s="103" t="s">
        <v>37</v>
      </c>
      <c r="C9" s="103" t="s">
        <v>633</v>
      </c>
      <c r="D9" s="103" t="s">
        <v>634</v>
      </c>
      <c r="E9" s="103" t="s">
        <v>72</v>
      </c>
      <c r="F9" s="110" t="s">
        <v>84</v>
      </c>
      <c r="H9" s="97" t="s">
        <v>659</v>
      </c>
      <c r="I9" s="98" t="s">
        <v>660</v>
      </c>
      <c r="J9" s="98" t="s">
        <v>661</v>
      </c>
      <c r="K9" s="99" t="s">
        <v>803</v>
      </c>
    </row>
    <row r="10" spans="2:11" x14ac:dyDescent="0.25">
      <c r="B10" s="104" t="s">
        <v>38</v>
      </c>
      <c r="C10" s="104" t="s">
        <v>50</v>
      </c>
      <c r="D10" s="104" t="s">
        <v>62</v>
      </c>
      <c r="E10" s="104" t="s">
        <v>73</v>
      </c>
      <c r="F10" s="104" t="s">
        <v>85</v>
      </c>
      <c r="H10" s="6"/>
      <c r="I10" s="6"/>
      <c r="J10" s="6"/>
      <c r="K10" s="6"/>
    </row>
    <row r="11" spans="2:11" x14ac:dyDescent="0.25">
      <c r="B11" s="103" t="s">
        <v>39</v>
      </c>
      <c r="C11" s="103" t="s">
        <v>51</v>
      </c>
      <c r="D11" s="103" t="s">
        <v>63</v>
      </c>
      <c r="E11" s="109" t="s">
        <v>74</v>
      </c>
      <c r="F11" s="111" t="s">
        <v>86</v>
      </c>
      <c r="H11" s="6"/>
      <c r="I11" s="6"/>
      <c r="J11" s="6"/>
      <c r="K11" s="6"/>
    </row>
    <row r="12" spans="2:11" x14ac:dyDescent="0.25">
      <c r="B12" s="104" t="s">
        <v>40</v>
      </c>
      <c r="C12" s="104" t="s">
        <v>52</v>
      </c>
      <c r="D12" s="104" t="s">
        <v>635</v>
      </c>
      <c r="E12" s="104" t="s">
        <v>75</v>
      </c>
      <c r="F12" s="104" t="s">
        <v>87</v>
      </c>
      <c r="H12" s="6"/>
      <c r="I12" s="6"/>
      <c r="J12" s="6"/>
      <c r="K12" s="6"/>
    </row>
    <row r="13" spans="2:11" x14ac:dyDescent="0.25">
      <c r="B13" s="103" t="s">
        <v>41</v>
      </c>
      <c r="C13" s="103" t="s">
        <v>53</v>
      </c>
      <c r="D13" s="103" t="s">
        <v>65</v>
      </c>
      <c r="E13" s="103" t="s">
        <v>76</v>
      </c>
      <c r="F13" s="103" t="s">
        <v>88</v>
      </c>
      <c r="H13" s="6"/>
      <c r="I13" s="6"/>
      <c r="J13" s="6"/>
      <c r="K13" s="6"/>
    </row>
    <row r="14" spans="2:11" x14ac:dyDescent="0.25">
      <c r="B14" s="104" t="s">
        <v>42</v>
      </c>
      <c r="C14" s="104" t="s">
        <v>54</v>
      </c>
      <c r="D14" s="104" t="s">
        <v>66</v>
      </c>
      <c r="E14" s="104" t="s">
        <v>77</v>
      </c>
      <c r="F14" s="104" t="s">
        <v>89</v>
      </c>
      <c r="H14" s="6"/>
      <c r="I14" s="6"/>
      <c r="J14" s="6"/>
      <c r="K14" s="6"/>
    </row>
    <row r="15" spans="2:11" x14ac:dyDescent="0.25">
      <c r="B15" s="103" t="s">
        <v>43</v>
      </c>
      <c r="C15" s="107" t="s">
        <v>55</v>
      </c>
      <c r="D15" s="103" t="s">
        <v>67</v>
      </c>
      <c r="E15" s="103" t="s">
        <v>78</v>
      </c>
      <c r="F15" s="103" t="s">
        <v>90</v>
      </c>
      <c r="H15" s="6"/>
      <c r="I15" s="6"/>
      <c r="J15" s="6"/>
      <c r="K15" s="6"/>
    </row>
    <row r="16" spans="2:11" ht="15.75" thickBot="1" x14ac:dyDescent="0.3">
      <c r="B16" s="106" t="s">
        <v>44</v>
      </c>
      <c r="C16" s="108" t="s">
        <v>56</v>
      </c>
      <c r="D16" s="106" t="s">
        <v>314</v>
      </c>
      <c r="E16" s="106" t="s">
        <v>79</v>
      </c>
      <c r="F16" s="106" t="s">
        <v>91</v>
      </c>
      <c r="H16" s="6"/>
      <c r="I16" s="6"/>
      <c r="J16" s="6"/>
      <c r="K16" s="6"/>
    </row>
    <row r="17" spans="2:11" s="6" customFormat="1" x14ac:dyDescent="0.25"/>
    <row r="18" spans="2:11" s="6" customFormat="1" x14ac:dyDescent="0.25"/>
    <row r="19" spans="2:11" s="6" customFormat="1" x14ac:dyDescent="0.25"/>
    <row r="20" spans="2:11" s="6" customFormat="1" x14ac:dyDescent="0.25"/>
    <row r="21" spans="2:11" s="6" customFormat="1" x14ac:dyDescent="0.25"/>
    <row r="22" spans="2:11" s="6" customFormat="1" x14ac:dyDescent="0.25"/>
    <row r="23" spans="2:11" s="6" customFormat="1" x14ac:dyDescent="0.25"/>
    <row r="24" spans="2:11" s="6" customFormat="1" x14ac:dyDescent="0.25"/>
    <row r="25" spans="2:11" s="6" customFormat="1" x14ac:dyDescent="0.25"/>
    <row r="26" spans="2:11" s="6" customFormat="1" x14ac:dyDescent="0.25"/>
    <row r="27" spans="2:11" s="6" customFormat="1" x14ac:dyDescent="0.25"/>
    <row r="28" spans="2:11" s="6" customFormat="1" x14ac:dyDescent="0.25"/>
    <row r="29" spans="2:11" s="6" customFormat="1" x14ac:dyDescent="0.25">
      <c r="B29" s="7"/>
      <c r="C29" s="7"/>
      <c r="D29" s="7"/>
      <c r="E29" s="7"/>
      <c r="F29" s="7"/>
      <c r="G29" s="7"/>
      <c r="H29" s="7"/>
      <c r="I29" s="7"/>
    </row>
    <row r="30" spans="2:11" s="6" customFormat="1" x14ac:dyDescent="0.25"/>
    <row r="31" spans="2:11" x14ac:dyDescent="0.25">
      <c r="B31" s="6"/>
      <c r="C31" s="6"/>
      <c r="D31" s="6"/>
      <c r="E31" s="6"/>
      <c r="F31" s="6"/>
      <c r="H31" s="6"/>
      <c r="I31" s="6"/>
      <c r="J31" s="6"/>
      <c r="K31" s="6"/>
    </row>
    <row r="32" spans="2:11" x14ac:dyDescent="0.25">
      <c r="B32" s="6"/>
      <c r="C32" s="6"/>
      <c r="D32" s="6"/>
      <c r="E32" s="6"/>
      <c r="F32" s="6"/>
      <c r="H32" s="6"/>
      <c r="I32" s="6"/>
      <c r="J32" s="6"/>
      <c r="K32" s="6"/>
    </row>
    <row r="33" spans="2:11" x14ac:dyDescent="0.25">
      <c r="B33" s="6"/>
      <c r="C33" s="6"/>
      <c r="D33" s="6"/>
      <c r="E33" s="6"/>
      <c r="F33" s="6"/>
      <c r="H33" s="6"/>
      <c r="I33" s="6"/>
      <c r="J33" s="6"/>
      <c r="K33" s="6"/>
    </row>
    <row r="34" spans="2:11" x14ac:dyDescent="0.25">
      <c r="B34" s="6"/>
      <c r="C34" s="6"/>
      <c r="D34" s="6"/>
      <c r="E34" s="6"/>
      <c r="F34" s="6"/>
      <c r="H34" s="6"/>
      <c r="I34" s="6"/>
      <c r="J34" s="6"/>
      <c r="K34" s="6"/>
    </row>
    <row r="35" spans="2:11" x14ac:dyDescent="0.25">
      <c r="B35" s="6"/>
      <c r="C35" s="6"/>
      <c r="D35" s="6"/>
      <c r="E35" s="6"/>
      <c r="F35" s="6"/>
      <c r="H35" s="6"/>
      <c r="I35" s="6"/>
      <c r="J35" s="6"/>
      <c r="K35" s="6"/>
    </row>
    <row r="36" spans="2:11" x14ac:dyDescent="0.25">
      <c r="B36" s="6"/>
      <c r="C36" s="6"/>
      <c r="D36" s="6"/>
      <c r="E36" s="6"/>
      <c r="F36" s="6"/>
      <c r="H36" s="6"/>
      <c r="I36" s="6"/>
      <c r="J36" s="6"/>
      <c r="K36" s="6"/>
    </row>
    <row r="37" spans="2:11" x14ac:dyDescent="0.25">
      <c r="B37" s="6"/>
      <c r="C37" s="6"/>
      <c r="D37" s="6"/>
      <c r="E37" s="6"/>
      <c r="F37" s="6"/>
      <c r="H37" s="6"/>
      <c r="I37" s="6"/>
      <c r="J37" s="6"/>
      <c r="K37" s="6"/>
    </row>
    <row r="38" spans="2:11" x14ac:dyDescent="0.25">
      <c r="B38" s="6"/>
      <c r="C38" s="6"/>
      <c r="D38" s="6"/>
      <c r="E38" s="6"/>
      <c r="F38" s="6"/>
      <c r="H38" s="6"/>
      <c r="I38" s="6"/>
      <c r="J38" s="6"/>
      <c r="K38" s="6"/>
    </row>
    <row r="39" spans="2:11" x14ac:dyDescent="0.25">
      <c r="B39" s="6"/>
      <c r="C39" s="6"/>
      <c r="D39" s="6"/>
      <c r="E39" s="6"/>
      <c r="F39" s="6"/>
      <c r="H39" s="6"/>
      <c r="I39" s="6"/>
      <c r="J39" s="6"/>
      <c r="K39" s="6"/>
    </row>
    <row r="40" spans="2:11" x14ac:dyDescent="0.25">
      <c r="B40" s="6"/>
      <c r="C40" s="6"/>
      <c r="D40" s="6"/>
      <c r="E40" s="6"/>
      <c r="F40" s="6"/>
      <c r="H40" s="6"/>
      <c r="I40" s="6"/>
      <c r="J40" s="6"/>
      <c r="K40" s="6"/>
    </row>
    <row r="41" spans="2:11" x14ac:dyDescent="0.25">
      <c r="B41" s="6"/>
      <c r="C41" s="6"/>
      <c r="D41" s="6"/>
      <c r="E41" s="6"/>
      <c r="F41" s="6"/>
      <c r="H41" s="6"/>
      <c r="I41" s="6"/>
      <c r="J41" s="6"/>
      <c r="K41" s="6"/>
    </row>
    <row r="42" spans="2:11" x14ac:dyDescent="0.25">
      <c r="B42" s="6"/>
      <c r="C42" s="6"/>
      <c r="D42" s="6"/>
      <c r="E42" s="6"/>
      <c r="F42" s="6"/>
      <c r="H42" s="6"/>
      <c r="I42" s="6"/>
      <c r="J42" s="6"/>
      <c r="K42" s="6"/>
    </row>
    <row r="43" spans="2:11" x14ac:dyDescent="0.25">
      <c r="B43" s="6"/>
      <c r="C43" s="6"/>
      <c r="D43" s="6"/>
      <c r="E43" s="6"/>
      <c r="F43" s="6"/>
      <c r="H43" s="6"/>
      <c r="I43" s="6"/>
      <c r="J43" s="6"/>
      <c r="K43" s="6"/>
    </row>
    <row r="44" spans="2:11" x14ac:dyDescent="0.25">
      <c r="B44" s="6"/>
      <c r="C44" s="6"/>
      <c r="D44" s="6"/>
      <c r="E44" s="6"/>
      <c r="F44" s="6"/>
      <c r="H44" s="6"/>
      <c r="I44" s="6"/>
      <c r="J44" s="6"/>
      <c r="K44" s="6"/>
    </row>
    <row r="45" spans="2:11" x14ac:dyDescent="0.25">
      <c r="B45" s="6"/>
      <c r="C45" s="6"/>
      <c r="D45" s="6"/>
      <c r="E45" s="6"/>
      <c r="F45" s="6"/>
      <c r="H45" s="6"/>
      <c r="I45" s="6"/>
      <c r="J45" s="6"/>
      <c r="K45" s="6"/>
    </row>
    <row r="46" spans="2:11" x14ac:dyDescent="0.25">
      <c r="B46" s="6"/>
      <c r="C46" s="6"/>
      <c r="D46" s="6"/>
      <c r="E46" s="6"/>
      <c r="F46" s="6"/>
      <c r="H46" s="6"/>
      <c r="I46" s="6"/>
      <c r="J46" s="6"/>
      <c r="K46" s="6"/>
    </row>
    <row r="47" spans="2:11" x14ac:dyDescent="0.25">
      <c r="B47" s="6"/>
      <c r="C47" s="6"/>
      <c r="D47" s="6"/>
      <c r="E47" s="6"/>
      <c r="F47" s="6"/>
      <c r="H47" s="6"/>
      <c r="I47" s="6"/>
      <c r="J47" s="6"/>
      <c r="K47" s="6"/>
    </row>
    <row r="48" spans="2:11" x14ac:dyDescent="0.25">
      <c r="B48" s="6"/>
      <c r="C48" s="6"/>
      <c r="D48" s="6"/>
      <c r="E48" s="6"/>
      <c r="F48" s="6"/>
      <c r="H48" s="6"/>
      <c r="I48" s="6"/>
      <c r="J48" s="6"/>
      <c r="K48" s="6"/>
    </row>
    <row r="49" spans="2:11" x14ac:dyDescent="0.25">
      <c r="B49" s="6"/>
      <c r="C49" s="6"/>
      <c r="D49" s="6"/>
      <c r="E49" s="6"/>
      <c r="F49" s="6"/>
      <c r="H49" s="6"/>
      <c r="I49" s="6"/>
      <c r="J49" s="6"/>
      <c r="K49" s="6"/>
    </row>
    <row r="50" spans="2:11" x14ac:dyDescent="0.25">
      <c r="B50" s="6"/>
      <c r="C50" s="6"/>
      <c r="D50" s="6"/>
      <c r="E50" s="6"/>
      <c r="F50" s="6"/>
      <c r="H50" s="6"/>
      <c r="I50" s="6"/>
      <c r="J50" s="6"/>
      <c r="K50" s="6"/>
    </row>
    <row r="51" spans="2:11" x14ac:dyDescent="0.25">
      <c r="B51" s="6"/>
      <c r="C51" s="6"/>
      <c r="D51" s="6"/>
      <c r="E51" s="6"/>
      <c r="F51" s="6"/>
      <c r="H51" s="6"/>
      <c r="I51" s="6"/>
      <c r="J51" s="6"/>
      <c r="K51" s="6"/>
    </row>
    <row r="52" spans="2:11" x14ac:dyDescent="0.25">
      <c r="B52" s="6"/>
      <c r="C52" s="6"/>
      <c r="D52" s="6"/>
      <c r="E52" s="6"/>
      <c r="F52" s="6"/>
      <c r="H52" s="6"/>
      <c r="I52" s="6"/>
      <c r="J52" s="6"/>
      <c r="K52" s="6"/>
    </row>
    <row r="53" spans="2:11" x14ac:dyDescent="0.25">
      <c r="B53" s="6"/>
      <c r="C53" s="6"/>
      <c r="D53" s="6"/>
      <c r="E53" s="6"/>
      <c r="F53" s="6"/>
      <c r="H53" s="6"/>
      <c r="I53" s="6"/>
      <c r="J53" s="6"/>
      <c r="K53" s="6"/>
    </row>
    <row r="54" spans="2:11" x14ac:dyDescent="0.25">
      <c r="B54" s="6"/>
      <c r="C54" s="6"/>
      <c r="D54" s="6"/>
      <c r="E54" s="6"/>
      <c r="F54" s="6"/>
      <c r="H54" s="6"/>
      <c r="I54" s="6"/>
      <c r="J54" s="6"/>
      <c r="K54" s="6"/>
    </row>
    <row r="55" spans="2:11" x14ac:dyDescent="0.25">
      <c r="B55" s="6"/>
      <c r="C55" s="6"/>
      <c r="D55" s="6"/>
      <c r="E55" s="6"/>
      <c r="F55" s="6"/>
      <c r="H55" s="6"/>
      <c r="I55" s="6"/>
      <c r="J55" s="6"/>
      <c r="K55" s="6"/>
    </row>
    <row r="56" spans="2:11" x14ac:dyDescent="0.25">
      <c r="B56" s="6"/>
      <c r="C56" s="6"/>
      <c r="D56" s="6"/>
      <c r="E56" s="6"/>
      <c r="F56" s="6"/>
      <c r="H56" s="6"/>
      <c r="I56" s="6"/>
      <c r="J56" s="6"/>
      <c r="K56" s="6"/>
    </row>
    <row r="57" spans="2:11" x14ac:dyDescent="0.25">
      <c r="B57" s="6"/>
      <c r="C57" s="6"/>
      <c r="D57" s="6"/>
      <c r="E57" s="6"/>
      <c r="F57" s="6"/>
      <c r="H57" s="6"/>
      <c r="I57" s="6"/>
      <c r="J57" s="6"/>
      <c r="K57" s="6"/>
    </row>
    <row r="58" spans="2:11" x14ac:dyDescent="0.25">
      <c r="B58" s="6"/>
      <c r="C58" s="6"/>
      <c r="D58" s="6"/>
      <c r="E58" s="6"/>
      <c r="F58" s="6"/>
      <c r="H58" s="6"/>
      <c r="I58" s="6"/>
      <c r="J58" s="6"/>
      <c r="K58" s="6"/>
    </row>
    <row r="59" spans="2:11" x14ac:dyDescent="0.25">
      <c r="B59" s="6"/>
      <c r="C59" s="6"/>
      <c r="D59" s="6"/>
      <c r="E59" s="6"/>
      <c r="F59" s="6"/>
      <c r="H59" s="6"/>
      <c r="I59" s="6"/>
      <c r="J59" s="6"/>
      <c r="K59" s="6"/>
    </row>
    <row r="60" spans="2:11" x14ac:dyDescent="0.25">
      <c r="B60" s="6"/>
      <c r="C60" s="6"/>
      <c r="D60" s="6"/>
      <c r="E60" s="6"/>
      <c r="F60" s="6"/>
      <c r="H60" s="6"/>
      <c r="I60" s="6"/>
      <c r="J60" s="6"/>
      <c r="K60" s="6"/>
    </row>
    <row r="61" spans="2:11" x14ac:dyDescent="0.25">
      <c r="B61" s="6"/>
      <c r="C61" s="6"/>
      <c r="D61" s="6"/>
      <c r="E61" s="6"/>
      <c r="F61" s="6"/>
      <c r="H61" s="6"/>
      <c r="I61" s="6"/>
      <c r="J61" s="6"/>
      <c r="K61" s="6"/>
    </row>
    <row r="62" spans="2:11" x14ac:dyDescent="0.25">
      <c r="B62" s="6"/>
      <c r="C62" s="6"/>
      <c r="D62" s="6"/>
      <c r="E62" s="6"/>
      <c r="F62" s="6"/>
      <c r="H62" s="6"/>
      <c r="I62" s="6"/>
      <c r="J62" s="6"/>
      <c r="K62" s="6"/>
    </row>
    <row r="63" spans="2:11" x14ac:dyDescent="0.25">
      <c r="B63" s="6"/>
      <c r="C63" s="6"/>
      <c r="D63" s="6"/>
      <c r="E63" s="6"/>
      <c r="F63" s="6"/>
      <c r="H63" s="6"/>
      <c r="I63" s="6"/>
      <c r="J63" s="6"/>
      <c r="K63" s="6"/>
    </row>
    <row r="64" spans="2:11" x14ac:dyDescent="0.25">
      <c r="B64" s="6"/>
      <c r="C64" s="6"/>
      <c r="D64" s="6"/>
      <c r="E64" s="6"/>
      <c r="F64" s="6"/>
      <c r="H64" s="6"/>
      <c r="I64" s="6"/>
      <c r="J64" s="6"/>
      <c r="K64" s="6"/>
    </row>
    <row r="65" spans="2:11" x14ac:dyDescent="0.25">
      <c r="B65" s="6"/>
      <c r="C65" s="6"/>
      <c r="D65" s="6"/>
      <c r="E65" s="6"/>
      <c r="F65" s="6"/>
      <c r="H65" s="6"/>
      <c r="I65" s="6"/>
      <c r="J65" s="6"/>
      <c r="K65" s="6"/>
    </row>
    <row r="66" spans="2:11" x14ac:dyDescent="0.25">
      <c r="B66" s="6"/>
      <c r="C66" s="6"/>
      <c r="D66" s="6"/>
      <c r="E66" s="6"/>
      <c r="F66" s="6"/>
      <c r="H66" s="6"/>
      <c r="I66" s="6"/>
      <c r="J66" s="6"/>
      <c r="K66" s="6"/>
    </row>
    <row r="67" spans="2:11" x14ac:dyDescent="0.25">
      <c r="B67" s="6"/>
      <c r="C67" s="6"/>
      <c r="D67" s="6"/>
      <c r="E67" s="6"/>
      <c r="F67" s="6"/>
      <c r="H67" s="6"/>
      <c r="I67" s="6"/>
      <c r="J67" s="6"/>
      <c r="K67" s="6"/>
    </row>
    <row r="68" spans="2:11" x14ac:dyDescent="0.25">
      <c r="B68" s="6"/>
      <c r="C68" s="6"/>
      <c r="D68" s="6"/>
      <c r="E68" s="6"/>
      <c r="F68" s="6"/>
      <c r="H68" s="6"/>
      <c r="I68" s="6"/>
      <c r="J68" s="6"/>
      <c r="K68" s="6"/>
    </row>
    <row r="69" spans="2:11" x14ac:dyDescent="0.25">
      <c r="B69" s="6"/>
      <c r="C69" s="6"/>
      <c r="D69" s="6"/>
      <c r="E69" s="6"/>
      <c r="F69" s="6"/>
      <c r="H69" s="6"/>
      <c r="I69" s="6"/>
      <c r="J69" s="6"/>
      <c r="K69" s="6"/>
    </row>
    <row r="70" spans="2:11" x14ac:dyDescent="0.25">
      <c r="B70" s="6"/>
      <c r="C70" s="6"/>
      <c r="D70" s="6"/>
      <c r="E70" s="6"/>
      <c r="F70" s="6"/>
      <c r="H70" s="6"/>
      <c r="I70" s="6"/>
      <c r="J70" s="6"/>
      <c r="K70" s="6"/>
    </row>
    <row r="71" spans="2:11" x14ac:dyDescent="0.25">
      <c r="B71" s="6"/>
      <c r="C71" s="6"/>
      <c r="D71" s="6"/>
      <c r="E71" s="6"/>
      <c r="F71" s="6"/>
      <c r="H71" s="6"/>
      <c r="I71" s="6"/>
      <c r="J71" s="6"/>
      <c r="K71" s="6"/>
    </row>
    <row r="72" spans="2:11" x14ac:dyDescent="0.25">
      <c r="B72" s="6"/>
      <c r="C72" s="6"/>
      <c r="D72" s="6"/>
      <c r="E72" s="6"/>
      <c r="F72" s="6"/>
      <c r="H72" s="6"/>
      <c r="I72" s="6"/>
      <c r="J72" s="6"/>
      <c r="K72" s="6"/>
    </row>
    <row r="73" spans="2:11" x14ac:dyDescent="0.25">
      <c r="B73" s="6"/>
      <c r="C73" s="6"/>
      <c r="D73" s="6"/>
      <c r="E73" s="6"/>
      <c r="F73" s="6"/>
      <c r="H73" s="6"/>
      <c r="I73" s="6"/>
      <c r="J73" s="6"/>
      <c r="K73" s="6"/>
    </row>
    <row r="74" spans="2:11" x14ac:dyDescent="0.25">
      <c r="B74" s="6"/>
      <c r="C74" s="6"/>
      <c r="D74" s="6"/>
      <c r="E74" s="6"/>
      <c r="F74" s="6"/>
      <c r="H74" s="6"/>
      <c r="I74" s="6"/>
      <c r="J74" s="6"/>
      <c r="K74" s="6"/>
    </row>
    <row r="75" spans="2:11" x14ac:dyDescent="0.25">
      <c r="B75" s="6"/>
      <c r="C75" s="6"/>
      <c r="D75" s="6"/>
      <c r="E75" s="6"/>
      <c r="F75" s="6"/>
      <c r="H75" s="6"/>
      <c r="I75" s="6"/>
      <c r="J75" s="6"/>
      <c r="K75" s="6"/>
    </row>
    <row r="76" spans="2:11" x14ac:dyDescent="0.25">
      <c r="B76" s="6"/>
      <c r="C76" s="6"/>
      <c r="D76" s="6"/>
      <c r="E76" s="6"/>
      <c r="F76" s="6"/>
      <c r="H76" s="6"/>
      <c r="I76" s="6"/>
      <c r="J76" s="6"/>
      <c r="K76" s="6"/>
    </row>
    <row r="77" spans="2:11" x14ac:dyDescent="0.25">
      <c r="B77" s="6"/>
      <c r="C77" s="6"/>
      <c r="D77" s="6"/>
      <c r="E77" s="6"/>
      <c r="F77" s="6"/>
      <c r="H77" s="6"/>
      <c r="I77" s="6"/>
      <c r="J77" s="6"/>
      <c r="K77" s="6"/>
    </row>
    <row r="78" spans="2:11" x14ac:dyDescent="0.25">
      <c r="B78" s="6"/>
      <c r="C78" s="6"/>
      <c r="D78" s="6"/>
      <c r="E78" s="6"/>
      <c r="F78" s="6"/>
      <c r="H78" s="6"/>
      <c r="I78" s="6"/>
      <c r="J78" s="6"/>
      <c r="K78" s="6"/>
    </row>
    <row r="79" spans="2:11" x14ac:dyDescent="0.25">
      <c r="B79" s="6"/>
      <c r="C79" s="6"/>
      <c r="D79" s="6"/>
      <c r="E79" s="6"/>
      <c r="F79" s="6"/>
      <c r="H79" s="6"/>
      <c r="I79" s="6"/>
      <c r="J79" s="6"/>
      <c r="K79" s="6"/>
    </row>
    <row r="80" spans="2:11" x14ac:dyDescent="0.25">
      <c r="B80" s="6"/>
      <c r="C80" s="6"/>
      <c r="D80" s="6"/>
      <c r="E80" s="6"/>
      <c r="F80" s="6"/>
      <c r="H80" s="6"/>
      <c r="I80" s="6"/>
      <c r="J80" s="6"/>
      <c r="K80" s="6"/>
    </row>
    <row r="81" spans="2:11" x14ac:dyDescent="0.25">
      <c r="B81" s="6"/>
      <c r="C81" s="6"/>
      <c r="D81" s="6"/>
      <c r="E81" s="6"/>
      <c r="F81" s="6"/>
      <c r="H81" s="6"/>
      <c r="I81" s="6"/>
      <c r="J81" s="6"/>
      <c r="K81" s="6"/>
    </row>
    <row r="82" spans="2:11" x14ac:dyDescent="0.25">
      <c r="B82" s="6"/>
      <c r="C82" s="6"/>
      <c r="D82" s="6"/>
      <c r="E82" s="6"/>
      <c r="F82" s="6"/>
      <c r="H82" s="6"/>
      <c r="I82" s="6"/>
      <c r="J82" s="6"/>
      <c r="K82" s="6"/>
    </row>
    <row r="83" spans="2:11" x14ac:dyDescent="0.25">
      <c r="B83" s="6"/>
      <c r="C83" s="6"/>
      <c r="D83" s="6"/>
      <c r="E83" s="6"/>
      <c r="F83" s="6"/>
      <c r="H83" s="6"/>
      <c r="I83" s="6"/>
      <c r="J83" s="6"/>
      <c r="K83" s="6"/>
    </row>
    <row r="84" spans="2:11" x14ac:dyDescent="0.25">
      <c r="B84" s="6"/>
      <c r="C84" s="6"/>
      <c r="D84" s="6"/>
      <c r="E84" s="6"/>
      <c r="F84" s="6"/>
      <c r="H84" s="6"/>
      <c r="I84" s="6"/>
      <c r="J84" s="6"/>
      <c r="K84" s="6"/>
    </row>
    <row r="85" spans="2:11" x14ac:dyDescent="0.25">
      <c r="B85" s="6"/>
      <c r="C85" s="6"/>
      <c r="D85" s="6"/>
      <c r="E85" s="6"/>
      <c r="F85" s="6"/>
      <c r="H85" s="6"/>
      <c r="I85" s="6"/>
      <c r="J85" s="6"/>
      <c r="K85" s="6"/>
    </row>
    <row r="86" spans="2:11" x14ac:dyDescent="0.25">
      <c r="B86" s="6"/>
      <c r="C86" s="6"/>
      <c r="D86" s="6"/>
      <c r="E86" s="6"/>
      <c r="F86" s="6"/>
      <c r="H86" s="6"/>
      <c r="I86" s="6"/>
      <c r="J86" s="6"/>
      <c r="K86" s="6"/>
    </row>
    <row r="87" spans="2:11" x14ac:dyDescent="0.25">
      <c r="B87" s="6"/>
      <c r="C87" s="6"/>
      <c r="D87" s="6"/>
      <c r="E87" s="6"/>
      <c r="F87" s="6"/>
      <c r="H87" s="6"/>
      <c r="I87" s="6"/>
      <c r="J87" s="6"/>
      <c r="K87" s="6"/>
    </row>
    <row r="88" spans="2:11" x14ac:dyDescent="0.25">
      <c r="B88" s="6"/>
      <c r="C88" s="6"/>
      <c r="D88" s="6"/>
      <c r="E88" s="6"/>
      <c r="F88" s="6"/>
      <c r="H88" s="6"/>
      <c r="I88" s="6"/>
      <c r="J88" s="6"/>
      <c r="K88" s="6"/>
    </row>
    <row r="89" spans="2:11" x14ac:dyDescent="0.25">
      <c r="B89" s="6"/>
      <c r="C89" s="6"/>
      <c r="D89" s="6"/>
      <c r="E89" s="6"/>
      <c r="F89" s="6"/>
      <c r="H89" s="6"/>
      <c r="I89" s="6"/>
      <c r="J89" s="6"/>
      <c r="K89" s="6"/>
    </row>
    <row r="90" spans="2:11" x14ac:dyDescent="0.25">
      <c r="B90" s="6"/>
      <c r="C90" s="6"/>
      <c r="D90" s="6"/>
      <c r="E90" s="6"/>
      <c r="F90" s="6"/>
      <c r="H90" s="6"/>
      <c r="I90" s="6"/>
      <c r="J90" s="6"/>
      <c r="K90" s="6"/>
    </row>
    <row r="91" spans="2:11" x14ac:dyDescent="0.25">
      <c r="B91" s="6"/>
      <c r="C91" s="6"/>
      <c r="D91" s="6"/>
      <c r="E91" s="6"/>
      <c r="F91" s="6"/>
      <c r="H91" s="6"/>
      <c r="I91" s="6"/>
      <c r="J91" s="6"/>
      <c r="K91" s="6"/>
    </row>
    <row r="92" spans="2:11" x14ac:dyDescent="0.25">
      <c r="B92" s="6"/>
      <c r="C92" s="6"/>
      <c r="D92" s="6"/>
      <c r="E92" s="6"/>
      <c r="F92" s="6"/>
      <c r="H92" s="6"/>
      <c r="I92" s="6"/>
      <c r="J92" s="6"/>
      <c r="K92" s="6"/>
    </row>
    <row r="93" spans="2:11" x14ac:dyDescent="0.25">
      <c r="B93" s="6"/>
      <c r="C93" s="6"/>
      <c r="D93" s="6"/>
      <c r="E93" s="6"/>
      <c r="F93" s="6"/>
      <c r="H93" s="6"/>
      <c r="I93" s="6"/>
      <c r="J93" s="6"/>
      <c r="K93" s="6"/>
    </row>
    <row r="94" spans="2:11" x14ac:dyDescent="0.25">
      <c r="B94" s="6"/>
      <c r="C94" s="6"/>
      <c r="D94" s="6"/>
      <c r="E94" s="6"/>
      <c r="F94" s="6"/>
      <c r="H94" s="6"/>
      <c r="I94" s="6"/>
      <c r="J94" s="6"/>
      <c r="K94" s="6"/>
    </row>
    <row r="95" spans="2:11" x14ac:dyDescent="0.25">
      <c r="B95" s="6"/>
      <c r="C95" s="6"/>
      <c r="D95" s="6"/>
      <c r="E95" s="6"/>
      <c r="F95" s="6"/>
      <c r="H95" s="6"/>
      <c r="I95" s="6"/>
      <c r="J95" s="6"/>
      <c r="K95" s="6"/>
    </row>
    <row r="96" spans="2:11" x14ac:dyDescent="0.25">
      <c r="B96" s="6"/>
      <c r="C96" s="6"/>
      <c r="D96" s="6"/>
      <c r="E96" s="6"/>
      <c r="F96" s="6"/>
      <c r="H96" s="6"/>
      <c r="I96" s="6"/>
      <c r="J96" s="6"/>
      <c r="K96" s="6"/>
    </row>
    <row r="97" spans="2:11" x14ac:dyDescent="0.25">
      <c r="B97" s="6"/>
      <c r="C97" s="6"/>
      <c r="D97" s="6"/>
      <c r="E97" s="6"/>
      <c r="F97" s="6"/>
      <c r="H97" s="6"/>
      <c r="I97" s="6"/>
      <c r="J97" s="6"/>
      <c r="K97" s="6"/>
    </row>
    <row r="98" spans="2:11" x14ac:dyDescent="0.25">
      <c r="B98" s="6"/>
      <c r="C98" s="6"/>
      <c r="D98" s="6"/>
      <c r="E98" s="6"/>
      <c r="F98" s="6"/>
      <c r="H98" s="6"/>
      <c r="I98" s="6"/>
      <c r="J98" s="6"/>
      <c r="K98" s="6"/>
    </row>
    <row r="99" spans="2:11" x14ac:dyDescent="0.25">
      <c r="B99" s="6"/>
      <c r="C99" s="6"/>
      <c r="D99" s="6"/>
      <c r="E99" s="6"/>
      <c r="F99" s="6"/>
      <c r="H99" s="6"/>
      <c r="I99" s="6"/>
      <c r="J99" s="6"/>
      <c r="K99" s="6"/>
    </row>
    <row r="100" spans="2:11" x14ac:dyDescent="0.25">
      <c r="B100" s="6"/>
      <c r="C100" s="6"/>
      <c r="D100" s="6"/>
      <c r="E100" s="6"/>
      <c r="F100" s="6"/>
      <c r="H100" s="6"/>
      <c r="I100" s="6"/>
      <c r="J100" s="6"/>
      <c r="K100" s="6"/>
    </row>
    <row r="101" spans="2:11" x14ac:dyDescent="0.25">
      <c r="B101" s="6"/>
      <c r="C101" s="6"/>
      <c r="D101" s="6"/>
      <c r="E101" s="6"/>
      <c r="F101" s="6"/>
      <c r="H101" s="6"/>
      <c r="I101" s="6"/>
      <c r="J101" s="6"/>
      <c r="K101" s="6"/>
    </row>
    <row r="102" spans="2:11" x14ac:dyDescent="0.25">
      <c r="B102" s="6"/>
      <c r="C102" s="6"/>
      <c r="D102" s="6"/>
      <c r="E102" s="6"/>
      <c r="F102" s="6"/>
      <c r="H102" s="6"/>
      <c r="I102" s="6"/>
      <c r="J102" s="6"/>
      <c r="K102" s="6"/>
    </row>
    <row r="103" spans="2:11" x14ac:dyDescent="0.25">
      <c r="B103" s="6"/>
      <c r="C103" s="6"/>
      <c r="D103" s="6"/>
      <c r="E103" s="6"/>
      <c r="F103" s="6"/>
      <c r="H103" s="6"/>
      <c r="I103" s="6"/>
      <c r="J103" s="6"/>
      <c r="K103" s="6"/>
    </row>
    <row r="104" spans="2:11" x14ac:dyDescent="0.25">
      <c r="B104" s="6"/>
      <c r="C104" s="6"/>
      <c r="D104" s="6"/>
      <c r="E104" s="6"/>
      <c r="F104" s="6"/>
      <c r="H104" s="6"/>
      <c r="I104" s="6"/>
      <c r="J104" s="6"/>
      <c r="K104" s="6"/>
    </row>
    <row r="105" spans="2:11" x14ac:dyDescent="0.25">
      <c r="B105" s="6"/>
      <c r="C105" s="6"/>
      <c r="D105" s="6"/>
      <c r="E105" s="6"/>
      <c r="F105" s="6"/>
      <c r="H105" s="6"/>
      <c r="I105" s="6"/>
      <c r="J105" s="6"/>
      <c r="K105" s="6"/>
    </row>
    <row r="106" spans="2:11" x14ac:dyDescent="0.25">
      <c r="B106" s="6"/>
      <c r="C106" s="6"/>
      <c r="D106" s="6"/>
      <c r="E106" s="6"/>
      <c r="F106" s="6"/>
      <c r="H106" s="6"/>
      <c r="I106" s="6"/>
      <c r="J106" s="6"/>
      <c r="K106" s="6"/>
    </row>
  </sheetData>
  <sheetProtection sheet="1" objects="1" scenarios="1"/>
  <mergeCells count="3">
    <mergeCell ref="H2:K2"/>
    <mergeCell ref="B2:F2"/>
    <mergeCell ref="B3:F3"/>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5B35D625864A45BB7720DBFF280B1F" ma:contentTypeVersion="13" ma:contentTypeDescription="Create a new document." ma:contentTypeScope="" ma:versionID="486be156e8a0be00da70277cc6927105">
  <xsd:schema xmlns:xsd="http://www.w3.org/2001/XMLSchema" xmlns:xs="http://www.w3.org/2001/XMLSchema" xmlns:p="http://schemas.microsoft.com/office/2006/metadata/properties" xmlns:ns3="4e085d26-5fac-422e-a1bd-a63e4c4beac8" xmlns:ns4="0de59a04-bcb6-477e-ab8e-858ea0b44929" targetNamespace="http://schemas.microsoft.com/office/2006/metadata/properties" ma:root="true" ma:fieldsID="7789448872ccc8cad544212c240aec2d" ns3:_="" ns4:_="">
    <xsd:import namespace="4e085d26-5fac-422e-a1bd-a63e4c4beac8"/>
    <xsd:import namespace="0de59a04-bcb6-477e-ab8e-858ea0b4492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85d26-5fac-422e-a1bd-a63e4c4bea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e59a04-bcb6-477e-ab8e-858ea0b4492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584EBF-5501-4B80-90F3-EA48879638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85d26-5fac-422e-a1bd-a63e4c4beac8"/>
    <ds:schemaRef ds:uri="0de59a04-bcb6-477e-ab8e-858ea0b449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D86ABF-9FDF-4655-8231-90327187E362}">
  <ds:schemaRefs>
    <ds:schemaRef ds:uri="http://schemas.microsoft.com/sharepoint/v3/contenttype/forms"/>
  </ds:schemaRefs>
</ds:datastoreItem>
</file>

<file path=customXml/itemProps3.xml><?xml version="1.0" encoding="utf-8"?>
<ds:datastoreItem xmlns:ds="http://schemas.openxmlformats.org/officeDocument/2006/customXml" ds:itemID="{96311F52-39AB-4703-9976-D75A87D6943A}">
  <ds:schemaRefs>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0de59a04-bcb6-477e-ab8e-858ea0b44929"/>
    <ds:schemaRef ds:uri="4e085d26-5fac-422e-a1bd-a63e4c4beac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File updates</vt:lpstr>
      <vt:lpstr>Overview</vt:lpstr>
      <vt:lpstr>Tourney Rules</vt:lpstr>
      <vt:lpstr>Star_Players</vt:lpstr>
      <vt:lpstr>Teams</vt:lpstr>
      <vt:lpstr>Players</vt:lpstr>
      <vt:lpstr>Team 1</vt:lpstr>
      <vt:lpstr>Team (old)</vt:lpstr>
      <vt:lpstr>Skill_Packs</vt:lpstr>
      <vt:lpstr>Team 2</vt:lpstr>
      <vt:lpstr>Team 3</vt:lpstr>
      <vt:lpstr>Available Rosters</vt:lpstr>
      <vt:lpstr>Available Skills</vt:lpstr>
      <vt:lpstr>Allowed_skills</vt:lpstr>
      <vt:lpstr>PlayerList</vt:lpstr>
      <vt:lpstr>PLAYERS</vt:lpstr>
      <vt:lpstr>'Team 1'!Print_Area</vt:lpstr>
      <vt:lpstr>'Team 2'!Print_Area</vt:lpstr>
      <vt:lpstr>'Team 3'!Print_Area</vt:lpstr>
      <vt:lpstr>Special_Rules_Full_Names</vt:lpstr>
      <vt:lpstr>SpecialRules</vt:lpstr>
      <vt:lpstr>SquadName</vt:lpstr>
      <vt:lpstr>StarplayerList</vt:lpstr>
      <vt:lpstr>STARS</vt:lpstr>
      <vt:lpstr>TEAMS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Blaetter, Torsten;Alexander Weiss</dc:creator>
  <cp:lastModifiedBy>Alex</cp:lastModifiedBy>
  <cp:lastPrinted>2022-05-15T01:14:22Z</cp:lastPrinted>
  <dcterms:created xsi:type="dcterms:W3CDTF">2020-08-18T06:26:38Z</dcterms:created>
  <dcterms:modified xsi:type="dcterms:W3CDTF">2023-01-03T18:04:01Z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0x010100BE5B35D625864A45BB7720DBFF280B1F</vt:lpwstr>
  </property>
</Properties>
</file>